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comments16.xml" ContentType="application/vnd.openxmlformats-officedocument.spreadsheetml.comments+xml"/>
  <Override PartName="/xl/threadedComments/threadedComment16.xml" ContentType="application/vnd.ms-excel.threadedcomments+xml"/>
  <Override PartName="/xl/comments17.xml" ContentType="application/vnd.openxmlformats-officedocument.spreadsheetml.comments+xml"/>
  <Override PartName="/xl/threadedComments/threadedComment17.xml" ContentType="application/vnd.ms-excel.threadedcomments+xml"/>
  <Override PartName="/xl/comments18.xml" ContentType="application/vnd.openxmlformats-officedocument.spreadsheetml.comments+xml"/>
  <Override PartName="/xl/threadedComments/threadedComment18.xml" ContentType="application/vnd.ms-excel.threadedcomments+xml"/>
  <Override PartName="/xl/comments19.xml" ContentType="application/vnd.openxmlformats-officedocument.spreadsheetml.comments+xml"/>
  <Override PartName="/xl/threadedComments/threadedComment19.xml" ContentType="application/vnd.ms-excel.threadedcomments+xml"/>
  <Override PartName="/xl/comments20.xml" ContentType="application/vnd.openxmlformats-officedocument.spreadsheetml.comments+xml"/>
  <Override PartName="/xl/threadedComments/threadedComment20.xml" ContentType="application/vnd.ms-excel.threadedcomments+xml"/>
  <Override PartName="/xl/comments21.xml" ContentType="application/vnd.openxmlformats-officedocument.spreadsheetml.comments+xml"/>
  <Override PartName="/xl/threadedComments/threadedComment21.xml" ContentType="application/vnd.ms-excel.threadedcomments+xml"/>
  <Override PartName="/xl/comments22.xml" ContentType="application/vnd.openxmlformats-officedocument.spreadsheetml.comments+xml"/>
  <Override PartName="/xl/threadedComments/threadedComment22.xml" ContentType="application/vnd.ms-excel.threadedcomments+xml"/>
  <Override PartName="/xl/comments23.xml" ContentType="application/vnd.openxmlformats-officedocument.spreadsheetml.comments+xml"/>
  <Override PartName="/xl/threadedComments/threadedComment23.xml" ContentType="application/vnd.ms-excel.threadedcomments+xml"/>
  <Override PartName="/xl/comments24.xml" ContentType="application/vnd.openxmlformats-officedocument.spreadsheetml.comments+xml"/>
  <Override PartName="/xl/threadedComments/threadedComment24.xml" ContentType="application/vnd.ms-excel.threadedcomments+xml"/>
  <Override PartName="/xl/comments25.xml" ContentType="application/vnd.openxmlformats-officedocument.spreadsheetml.comments+xml"/>
  <Override PartName="/xl/threadedComments/threadedComment25.xml" ContentType="application/vnd.ms-excel.threadedcomments+xml"/>
  <Override PartName="/xl/comments26.xml" ContentType="application/vnd.openxmlformats-officedocument.spreadsheetml.comments+xml"/>
  <Override PartName="/xl/threadedComments/threadedComment2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kanak mahesh\Data\Mahesh Kanak\Integrated Reporting\FY 25\Data Files - FY 25\"/>
    </mc:Choice>
  </mc:AlternateContent>
  <xr:revisionPtr revIDLastSave="0" documentId="13_ncr:1_{735129C6-E0A1-4ED1-A1C3-2390D99226DA}" xr6:coauthVersionLast="47" xr6:coauthVersionMax="47" xr10:uidLastSave="{00000000-0000-0000-0000-000000000000}"/>
  <bookViews>
    <workbookView xWindow="-110" yWindow="-110" windowWidth="19420" windowHeight="10300" firstSheet="26" activeTab="26" xr2:uid="{63275FF2-18DD-4345-8AFC-B504E7CD78F6}"/>
  </bookViews>
  <sheets>
    <sheet name="WG - Kalyan" sheetId="34" state="hidden" r:id="rId1"/>
    <sheet name="WG - Kalyan 2" sheetId="35" state="hidden" r:id="rId2"/>
    <sheet name="WG - Palghar 2" sheetId="36" state="hidden" r:id="rId3"/>
    <sheet name="WG - P21" sheetId="37" state="hidden" r:id="rId4"/>
    <sheet name="WG - Tathawade" sheetId="38" state="hidden" r:id="rId5"/>
    <sheet name="WG - Alcove" sheetId="39" state="hidden" r:id="rId6"/>
    <sheet name="WG - B9Hope" sheetId="40" state="hidden" r:id="rId7"/>
    <sheet name="WG - Citadel" sheetId="41" state="hidden" r:id="rId8"/>
    <sheet name="WG - IvyLush" sheetId="42" state="hidden" r:id="rId9"/>
    <sheet name="WG - Eden" sheetId="43" state="hidden" r:id="rId10"/>
    <sheet name="WG - Lakewoods" sheetId="44" state="hidden" r:id="rId11"/>
    <sheet name="WG - Luminare" sheetId="45" state="hidden" r:id="rId12"/>
    <sheet name="WG - Meridian" sheetId="46" state="hidden" r:id="rId13"/>
    <sheet name="WG - Nestalgia" sheetId="47" state="hidden" r:id="rId14"/>
    <sheet name="WG - Navy" sheetId="48" state="hidden" r:id="rId15"/>
    <sheet name="WG - Vista" sheetId="49" state="hidden" r:id="rId16"/>
    <sheet name="WG - Zen" sheetId="50" state="hidden" r:id="rId17"/>
    <sheet name="WG - Worli HO" sheetId="51" state="hidden" r:id="rId18"/>
    <sheet name="WG - ATP RO" sheetId="52" state="hidden" r:id="rId19"/>
    <sheet name="WG - Borivali RO" sheetId="53" state="hidden" r:id="rId20"/>
    <sheet name="WG - Chennai City Office" sheetId="55" state="hidden" r:id="rId21"/>
    <sheet name="WG - Canopy - Sales and CE Offi" sheetId="56" state="hidden" r:id="rId22"/>
    <sheet name="WG - MWC Jaipur" sheetId="57" state="hidden" r:id="rId23"/>
    <sheet name="WG - Jaipur City Office" sheetId="58" state="hidden" r:id="rId24"/>
    <sheet name="WG - Origins Chennai" sheetId="59" state="hidden" r:id="rId25"/>
    <sheet name="WG - MWC Chennai" sheetId="54" state="hidden" r:id="rId26"/>
    <sheet name="Cost Savings - Resi + IC &amp; IC" sheetId="64" r:id="rId27"/>
    <sheet name="Reference Links" sheetId="65" r:id="rId28"/>
  </sheets>
  <externalReferences>
    <externalReference r:id="rId29"/>
    <externalReference r:id="rId30"/>
    <externalReference r:id="rId31"/>
  </externalReferences>
  <definedNames>
    <definedName name="_xlnm._FilterDatabase" localSheetId="26" hidden="1">'Cost Savings - Resi + IC &amp; IC'!$A$2:$L$103</definedName>
    <definedName name="_xlnm.Database" localSheetId="25">#REF!</definedName>
    <definedName name="_xlnm.Database" localSheetId="22">#REF!</definedName>
    <definedName name="_xlnm.Database" localSheetId="24">#REF!</definedName>
    <definedName name="_xlnm.Database">#REF!</definedName>
    <definedName name="errorMessageTable" localSheetId="22">[1]General_listings!$B$402:$K$403</definedName>
    <definedName name="errorMessageTable">[1]General_listings!$B$402:$K$403</definedName>
    <definedName name="EV__LASTREFTIME__" hidden="1">39881.4595833333</definedName>
    <definedName name="fourCategories" localSheetId="22">[1]General_listings!$B$193:$B$197</definedName>
    <definedName name="fourCategories">[1]General_listings!$B$193:$B$197</definedName>
    <definedName name="GWPtable" localSheetId="22">#REF!</definedName>
    <definedName name="GWPtable">#REF!</definedName>
    <definedName name="Industries" localSheetId="22">[1]General_listings!$B$13:$B$21</definedName>
    <definedName name="Industries">[1]General_listings!$B$13:$B$21</definedName>
    <definedName name="MWCC">#REF!</definedName>
    <definedName name="MWCJ">[2]General_listings!$B$402:$K$403</definedName>
    <definedName name="MWCJL">#REF!</definedName>
    <definedName name="Ref_DD_Fuel_Units" localSheetId="22">'[3]Reference - Lookup and Unit'!$A$4:$A$10</definedName>
    <definedName name="Ref_DD_Fuel_Units">'[3]Reference - Lookup and Unit'!$A$4:$A$10</definedName>
    <definedName name="Ref_DD_Region" localSheetId="22">'[3]Reference - Lookup and Unit'!$A$36:$A$38</definedName>
    <definedName name="Ref_DD_Region">'[3]Reference - Lookup and Unit'!$A$36:$A$38</definedName>
    <definedName name="Ref_DD_Scope" localSheetId="22">'[3]Reference - Lookup and Unit'!$A$63:$A$64</definedName>
    <definedName name="Ref_DD_Scope">'[3]Reference - Lookup and Unit'!$A$63:$A$64</definedName>
    <definedName name="Ref_DD_TransportMode" localSheetId="22">'[3]Reference - Lookup and Unit'!$A$43:$A$46</definedName>
    <definedName name="Ref_DD_TransportMode">'[3]Reference - Lookup and Unit'!$A$43:$A$46</definedName>
    <definedName name="watr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7" i="64" l="1"/>
  <c r="B126" i="64"/>
  <c r="B125" i="64"/>
  <c r="B123" i="64"/>
  <c r="B124" i="64"/>
  <c r="B122" i="64"/>
  <c r="F26" i="64"/>
  <c r="I93" i="64"/>
  <c r="H93" i="64"/>
  <c r="F93" i="64"/>
  <c r="I83" i="64"/>
  <c r="F83" i="64"/>
  <c r="F82" i="64"/>
  <c r="H82" i="64" s="1"/>
  <c r="I92" i="64"/>
  <c r="H92" i="64"/>
  <c r="H91" i="64" l="1"/>
  <c r="I32" i="64"/>
  <c r="H32" i="64"/>
  <c r="F90" i="64"/>
  <c r="H90" i="64" s="1"/>
  <c r="I13" i="64"/>
  <c r="F13" i="64"/>
  <c r="I12" i="64"/>
  <c r="F12" i="64"/>
  <c r="H12" i="64" s="1"/>
  <c r="I29" i="64"/>
  <c r="J30" i="64"/>
  <c r="F30" i="64"/>
  <c r="I30" i="64" s="1"/>
  <c r="H29" i="64"/>
  <c r="H13" i="64" l="1"/>
  <c r="I11" i="64"/>
  <c r="F11" i="64"/>
  <c r="H11" i="64" s="1"/>
  <c r="H97" i="64"/>
  <c r="F97" i="64"/>
  <c r="F28" i="64"/>
  <c r="I28" i="64" s="1"/>
  <c r="J28" i="64"/>
  <c r="I26" i="64"/>
  <c r="F5" i="64"/>
  <c r="H5" i="64" s="1"/>
  <c r="I25" i="64"/>
  <c r="F25" i="64"/>
  <c r="H25" i="64" s="1"/>
  <c r="F79" i="64"/>
  <c r="I79" i="64" s="1"/>
  <c r="F76" i="64"/>
  <c r="I76" i="64" s="1"/>
  <c r="F78" i="64"/>
  <c r="I78" i="64" s="1"/>
  <c r="H28" i="64" l="1"/>
  <c r="H26" i="64"/>
  <c r="H87" i="64" l="1"/>
  <c r="F87" i="64"/>
  <c r="F6" i="64"/>
  <c r="H6" i="64" s="1"/>
  <c r="F7" i="64"/>
  <c r="H7" i="64" s="1"/>
  <c r="I86" i="64"/>
  <c r="F86" i="64"/>
  <c r="H86" i="64" s="1"/>
  <c r="I85" i="64"/>
  <c r="H85" i="64"/>
  <c r="I84" i="64" l="1"/>
  <c r="F84" i="64"/>
  <c r="H84" i="64" s="1"/>
  <c r="I38" i="64"/>
  <c r="F38" i="64"/>
  <c r="H38" i="64" s="1"/>
  <c r="F94" i="64" l="1"/>
  <c r="I60" i="64"/>
  <c r="F61" i="64"/>
  <c r="F33" i="64"/>
  <c r="I57" i="64" l="1"/>
  <c r="F56" i="64"/>
  <c r="I56" i="64" s="1"/>
  <c r="I58" i="64"/>
  <c r="I49" i="64"/>
  <c r="D114" i="64"/>
  <c r="D115" i="64"/>
  <c r="D112" i="64"/>
  <c r="B114" i="64"/>
  <c r="I102" i="64"/>
  <c r="H102" i="64"/>
  <c r="I101" i="64"/>
  <c r="H101" i="64"/>
  <c r="I100" i="64"/>
  <c r="H100" i="64"/>
  <c r="F99" i="64"/>
  <c r="I98" i="64"/>
  <c r="F98" i="64"/>
  <c r="H96" i="64"/>
  <c r="H95" i="64"/>
  <c r="I94" i="64"/>
  <c r="F89" i="64"/>
  <c r="H89" i="64" s="1"/>
  <c r="F88" i="64"/>
  <c r="H88" i="64" s="1"/>
  <c r="H83" i="64"/>
  <c r="I81" i="64"/>
  <c r="F80" i="64"/>
  <c r="F77" i="64"/>
  <c r="I77" i="64" s="1"/>
  <c r="I75" i="64"/>
  <c r="I74" i="64"/>
  <c r="I72" i="64"/>
  <c r="I68" i="64"/>
  <c r="I67" i="64"/>
  <c r="I66" i="64"/>
  <c r="I65" i="64"/>
  <c r="I64" i="64"/>
  <c r="I63" i="64"/>
  <c r="I62" i="64"/>
  <c r="I61" i="64"/>
  <c r="I55" i="64"/>
  <c r="I54" i="64"/>
  <c r="F54" i="64"/>
  <c r="H54" i="64" s="1"/>
  <c r="I53" i="64"/>
  <c r="H53" i="64"/>
  <c r="H52" i="64"/>
  <c r="H51" i="64"/>
  <c r="H50" i="64"/>
  <c r="H49" i="64"/>
  <c r="I48" i="64"/>
  <c r="H48" i="64"/>
  <c r="J47" i="64"/>
  <c r="I47" i="64"/>
  <c r="H47" i="64"/>
  <c r="I46" i="64"/>
  <c r="H46" i="64"/>
  <c r="I44" i="64"/>
  <c r="H44" i="64"/>
  <c r="I43" i="64"/>
  <c r="H43" i="64"/>
  <c r="I42" i="64"/>
  <c r="H42" i="64"/>
  <c r="I41" i="64"/>
  <c r="H41" i="64"/>
  <c r="I40" i="64"/>
  <c r="H40" i="64"/>
  <c r="I39" i="64"/>
  <c r="H39" i="64"/>
  <c r="I37" i="64"/>
  <c r="H37" i="64"/>
  <c r="I36" i="64"/>
  <c r="H36" i="64"/>
  <c r="I35" i="64"/>
  <c r="H35" i="64"/>
  <c r="I34" i="64"/>
  <c r="H34" i="64"/>
  <c r="J33" i="64"/>
  <c r="I33" i="64"/>
  <c r="J31" i="64"/>
  <c r="I31" i="64"/>
  <c r="H31" i="64"/>
  <c r="H30" i="64"/>
  <c r="I27" i="64"/>
  <c r="H27" i="64"/>
  <c r="I22" i="64"/>
  <c r="H22" i="64"/>
  <c r="F21" i="64"/>
  <c r="H21" i="64" s="1"/>
  <c r="I20" i="64"/>
  <c r="H20" i="64"/>
  <c r="I19" i="64"/>
  <c r="H19" i="64"/>
  <c r="F18" i="64"/>
  <c r="H18" i="64" s="1"/>
  <c r="F16" i="64"/>
  <c r="H16" i="64" s="1"/>
  <c r="F15" i="64"/>
  <c r="H15" i="64" s="1"/>
  <c r="I14" i="64"/>
  <c r="F14" i="64"/>
  <c r="H14" i="64" s="1"/>
  <c r="I10" i="64"/>
  <c r="H10" i="64"/>
  <c r="F8" i="64"/>
  <c r="H8" i="64" s="1"/>
  <c r="H4" i="64"/>
  <c r="I3" i="64"/>
  <c r="H3" i="64"/>
  <c r="H33" i="64"/>
  <c r="I59" i="64"/>
  <c r="C55" i="59"/>
  <c r="D54" i="59"/>
  <c r="C54" i="59"/>
  <c r="D53" i="59"/>
  <c r="C53" i="59"/>
  <c r="C52" i="59"/>
  <c r="C51" i="59"/>
  <c r="D50" i="59"/>
  <c r="C50" i="59"/>
  <c r="C48" i="59"/>
  <c r="C47" i="59"/>
  <c r="D46" i="59"/>
  <c r="C46" i="59"/>
  <c r="D45" i="59"/>
  <c r="C45" i="59"/>
  <c r="C44" i="59"/>
  <c r="H43" i="59"/>
  <c r="C43" i="59"/>
  <c r="C42" i="59"/>
  <c r="C41" i="59"/>
  <c r="D40" i="59"/>
  <c r="C40" i="59"/>
  <c r="D39" i="59"/>
  <c r="C39" i="59"/>
  <c r="C37" i="59"/>
  <c r="C36" i="59"/>
  <c r="C35" i="59"/>
  <c r="C34" i="59"/>
  <c r="D33" i="59"/>
  <c r="C33" i="59"/>
  <c r="E30" i="59"/>
  <c r="D55" i="59"/>
  <c r="E29" i="59"/>
  <c r="E28" i="59"/>
  <c r="E27" i="59"/>
  <c r="E26" i="59"/>
  <c r="D52" i="59"/>
  <c r="E25" i="59"/>
  <c r="D51" i="59"/>
  <c r="E24" i="59"/>
  <c r="E23" i="59"/>
  <c r="D49" i="59"/>
  <c r="E22" i="59"/>
  <c r="D48" i="59"/>
  <c r="E21" i="59"/>
  <c r="D47" i="59"/>
  <c r="E20" i="59"/>
  <c r="E19" i="59"/>
  <c r="E18" i="59"/>
  <c r="D44" i="59"/>
  <c r="E17" i="59"/>
  <c r="D43" i="59"/>
  <c r="E16" i="59"/>
  <c r="D42" i="59"/>
  <c r="R15" i="59"/>
  <c r="Q15" i="59"/>
  <c r="E15" i="59"/>
  <c r="D41" i="59"/>
  <c r="R14" i="59"/>
  <c r="Q14" i="59"/>
  <c r="E14" i="59"/>
  <c r="R13" i="59"/>
  <c r="Q13" i="59"/>
  <c r="E13" i="59"/>
  <c r="R12" i="59"/>
  <c r="Q12" i="59"/>
  <c r="E12" i="59"/>
  <c r="D38" i="59"/>
  <c r="H42" i="59"/>
  <c r="R11" i="59"/>
  <c r="Q11" i="59"/>
  <c r="E11" i="59"/>
  <c r="D37" i="59"/>
  <c r="R10" i="59"/>
  <c r="Q10" i="59"/>
  <c r="E10" i="59"/>
  <c r="R9" i="59"/>
  <c r="Q9" i="59"/>
  <c r="E9" i="59"/>
  <c r="D36" i="59"/>
  <c r="R8" i="59"/>
  <c r="Q8" i="59"/>
  <c r="E8" i="59"/>
  <c r="D35" i="59"/>
  <c r="R7" i="59"/>
  <c r="Q7" i="59"/>
  <c r="E7" i="59"/>
  <c r="R6" i="59"/>
  <c r="Q6" i="59"/>
  <c r="E6" i="59"/>
  <c r="D34" i="59"/>
  <c r="R5" i="59"/>
  <c r="Q5" i="59"/>
  <c r="Q16" i="59"/>
  <c r="E5" i="59"/>
  <c r="R4" i="59"/>
  <c r="Q4" i="59"/>
  <c r="E4" i="59"/>
  <c r="E3" i="59"/>
  <c r="D57" i="58"/>
  <c r="C57" i="58"/>
  <c r="D56" i="58"/>
  <c r="C56" i="58"/>
  <c r="C55" i="58"/>
  <c r="C54" i="58"/>
  <c r="C52" i="58"/>
  <c r="C51" i="58"/>
  <c r="C50" i="58"/>
  <c r="C49" i="58"/>
  <c r="D48" i="58"/>
  <c r="C48" i="58"/>
  <c r="C47" i="58"/>
  <c r="C46" i="58"/>
  <c r="C45" i="58"/>
  <c r="D44" i="58"/>
  <c r="C44" i="58"/>
  <c r="C42" i="58"/>
  <c r="D41" i="58"/>
  <c r="C41" i="58"/>
  <c r="C40" i="58"/>
  <c r="C39" i="58"/>
  <c r="C38" i="58"/>
  <c r="C37" i="58"/>
  <c r="D36" i="58"/>
  <c r="D35" i="58"/>
  <c r="D34" i="58"/>
  <c r="C34" i="58"/>
  <c r="C33" i="58"/>
  <c r="E30" i="58"/>
  <c r="E29" i="58"/>
  <c r="E28" i="58"/>
  <c r="E27" i="58"/>
  <c r="D55" i="58"/>
  <c r="E26" i="58"/>
  <c r="E25" i="58"/>
  <c r="D52" i="58"/>
  <c r="E24" i="58"/>
  <c r="D51" i="58"/>
  <c r="E22" i="58"/>
  <c r="D49" i="58"/>
  <c r="E21" i="58"/>
  <c r="E20" i="58"/>
  <c r="D47" i="58"/>
  <c r="E19" i="58"/>
  <c r="D46" i="58"/>
  <c r="E18" i="58"/>
  <c r="D45" i="58"/>
  <c r="E17" i="58"/>
  <c r="J16" i="58"/>
  <c r="I16" i="58"/>
  <c r="E16" i="58"/>
  <c r="J15" i="58"/>
  <c r="I15" i="58"/>
  <c r="E15" i="58"/>
  <c r="J14" i="58"/>
  <c r="I14" i="58"/>
  <c r="E14" i="58"/>
  <c r="D40" i="58"/>
  <c r="J13" i="58"/>
  <c r="I13" i="58"/>
  <c r="E13" i="58"/>
  <c r="D39" i="58"/>
  <c r="J12" i="58"/>
  <c r="I12" i="58"/>
  <c r="J11" i="58"/>
  <c r="I11" i="58"/>
  <c r="E11" i="58"/>
  <c r="D37" i="58"/>
  <c r="J10" i="58"/>
  <c r="I10" i="58"/>
  <c r="J9" i="58"/>
  <c r="I9" i="58"/>
  <c r="E9" i="58"/>
  <c r="J8" i="58"/>
  <c r="I8" i="58"/>
  <c r="E8" i="58"/>
  <c r="J7" i="58"/>
  <c r="I7" i="58"/>
  <c r="E7" i="58"/>
  <c r="J6" i="58"/>
  <c r="I6" i="58"/>
  <c r="E6" i="58"/>
  <c r="J5" i="58"/>
  <c r="J17" i="58"/>
  <c r="D23" i="58"/>
  <c r="E23" i="58"/>
  <c r="D50" i="58"/>
  <c r="I5" i="58"/>
  <c r="E5" i="58"/>
  <c r="E4" i="58"/>
  <c r="D33" i="58"/>
  <c r="E3" i="58"/>
  <c r="M31" i="57"/>
  <c r="L31" i="57"/>
  <c r="O30" i="57"/>
  <c r="N30" i="57"/>
  <c r="M30" i="57"/>
  <c r="L30" i="57"/>
  <c r="K30" i="57"/>
  <c r="J30" i="57"/>
  <c r="I30" i="57"/>
  <c r="H30" i="57"/>
  <c r="G30" i="57"/>
  <c r="F30" i="57"/>
  <c r="E30" i="57"/>
  <c r="D30" i="57"/>
  <c r="O29" i="57"/>
  <c r="N29" i="57"/>
  <c r="N31" i="57"/>
  <c r="M29" i="57"/>
  <c r="L29" i="57"/>
  <c r="K29" i="57"/>
  <c r="J29" i="57"/>
  <c r="I29" i="57"/>
  <c r="H29" i="57"/>
  <c r="H31" i="57"/>
  <c r="G29" i="57"/>
  <c r="F29" i="57"/>
  <c r="F31" i="57"/>
  <c r="E29" i="57"/>
  <c r="E31" i="57"/>
  <c r="D29" i="57"/>
  <c r="O28" i="57"/>
  <c r="N28" i="57"/>
  <c r="M28" i="57"/>
  <c r="L28" i="57"/>
  <c r="K28" i="57"/>
  <c r="J28" i="57"/>
  <c r="I28" i="57"/>
  <c r="H28" i="57"/>
  <c r="G28" i="57"/>
  <c r="F28" i="57"/>
  <c r="E28" i="57"/>
  <c r="D28" i="57"/>
  <c r="D31" i="57"/>
  <c r="D25" i="57"/>
  <c r="H24" i="57"/>
  <c r="O23" i="57"/>
  <c r="O24" i="57"/>
  <c r="N23" i="57"/>
  <c r="M23" i="57"/>
  <c r="L23" i="57"/>
  <c r="K23" i="57"/>
  <c r="J23" i="57"/>
  <c r="I23" i="57"/>
  <c r="H23" i="57"/>
  <c r="G23" i="57"/>
  <c r="G24" i="57"/>
  <c r="F23" i="57"/>
  <c r="E23" i="57"/>
  <c r="D23" i="57"/>
  <c r="O22" i="57"/>
  <c r="O31" i="57"/>
  <c r="N22" i="57"/>
  <c r="N24" i="57"/>
  <c r="M22" i="57"/>
  <c r="M24" i="57"/>
  <c r="L22" i="57"/>
  <c r="L24" i="57"/>
  <c r="K22" i="57"/>
  <c r="J22" i="57"/>
  <c r="I22" i="57"/>
  <c r="H22" i="57"/>
  <c r="G22" i="57"/>
  <c r="G31" i="57"/>
  <c r="F22" i="57"/>
  <c r="F24" i="57"/>
  <c r="E22" i="57"/>
  <c r="E24" i="57"/>
  <c r="D22" i="57"/>
  <c r="D24" i="57"/>
  <c r="C57" i="56"/>
  <c r="D56" i="56"/>
  <c r="H44" i="56"/>
  <c r="C56" i="56"/>
  <c r="C55" i="56"/>
  <c r="C54" i="56"/>
  <c r="D52" i="56"/>
  <c r="C52" i="56"/>
  <c r="C51" i="56"/>
  <c r="C50" i="56"/>
  <c r="D49" i="56"/>
  <c r="C49" i="56"/>
  <c r="C48" i="56"/>
  <c r="C47" i="56"/>
  <c r="C46" i="56"/>
  <c r="D45" i="56"/>
  <c r="C45" i="56"/>
  <c r="C44" i="56"/>
  <c r="C42" i="56"/>
  <c r="D41" i="56"/>
  <c r="C41" i="56"/>
  <c r="D40" i="56"/>
  <c r="C40" i="56"/>
  <c r="C39" i="56"/>
  <c r="C38" i="56"/>
  <c r="D37" i="56"/>
  <c r="C37" i="56"/>
  <c r="D35" i="56"/>
  <c r="D34" i="56"/>
  <c r="C34" i="56"/>
  <c r="C33" i="56"/>
  <c r="E30" i="56"/>
  <c r="D57" i="56"/>
  <c r="E29" i="56"/>
  <c r="E28" i="56"/>
  <c r="E27" i="56"/>
  <c r="D55" i="56"/>
  <c r="E26" i="56"/>
  <c r="E25" i="56"/>
  <c r="E24" i="56"/>
  <c r="D51" i="56"/>
  <c r="E22" i="56"/>
  <c r="E21" i="56"/>
  <c r="D48" i="56"/>
  <c r="E20" i="56"/>
  <c r="D47" i="56"/>
  <c r="E19" i="56"/>
  <c r="D46" i="56"/>
  <c r="E18" i="56"/>
  <c r="E17" i="56"/>
  <c r="D44" i="56"/>
  <c r="J16" i="56"/>
  <c r="I16" i="56"/>
  <c r="E16" i="56"/>
  <c r="J15" i="56"/>
  <c r="I15" i="56"/>
  <c r="E15" i="56"/>
  <c r="J14" i="56"/>
  <c r="J17" i="56"/>
  <c r="D23" i="56"/>
  <c r="E23" i="56"/>
  <c r="D50" i="56"/>
  <c r="I14" i="56"/>
  <c r="E14" i="56"/>
  <c r="J13" i="56"/>
  <c r="I13" i="56"/>
  <c r="E13" i="56"/>
  <c r="D39" i="56"/>
  <c r="J12" i="56"/>
  <c r="I12" i="56"/>
  <c r="J11" i="56"/>
  <c r="I11" i="56"/>
  <c r="E11" i="56"/>
  <c r="J10" i="56"/>
  <c r="I10" i="56"/>
  <c r="J9" i="56"/>
  <c r="I9" i="56"/>
  <c r="E9" i="56"/>
  <c r="D36" i="56"/>
  <c r="J8" i="56"/>
  <c r="I8" i="56"/>
  <c r="E8" i="56"/>
  <c r="J7" i="56"/>
  <c r="I7" i="56"/>
  <c r="E7" i="56"/>
  <c r="J6" i="56"/>
  <c r="I6" i="56"/>
  <c r="E6" i="56"/>
  <c r="J5" i="56"/>
  <c r="I5" i="56"/>
  <c r="E5" i="56"/>
  <c r="E4" i="56"/>
  <c r="D33" i="56"/>
  <c r="E3" i="56"/>
  <c r="D57" i="55"/>
  <c r="C57" i="55"/>
  <c r="D56" i="55"/>
  <c r="C56" i="55"/>
  <c r="C55" i="55"/>
  <c r="D54" i="55"/>
  <c r="C54" i="55"/>
  <c r="D53" i="55"/>
  <c r="D52" i="55"/>
  <c r="C52" i="55"/>
  <c r="C51" i="55"/>
  <c r="C50" i="55"/>
  <c r="C49" i="55"/>
  <c r="D48" i="55"/>
  <c r="C48" i="55"/>
  <c r="C47" i="55"/>
  <c r="C46" i="55"/>
  <c r="C45" i="55"/>
  <c r="H44" i="55"/>
  <c r="D44" i="55"/>
  <c r="C44" i="55"/>
  <c r="C42" i="55"/>
  <c r="D41" i="55"/>
  <c r="C41" i="55"/>
  <c r="C40" i="55"/>
  <c r="C39" i="55"/>
  <c r="C38" i="55"/>
  <c r="C37" i="55"/>
  <c r="D36" i="55"/>
  <c r="D35" i="55"/>
  <c r="C34" i="55"/>
  <c r="D33" i="55"/>
  <c r="C33" i="55"/>
  <c r="E30" i="55"/>
  <c r="E29" i="55"/>
  <c r="E28" i="55"/>
  <c r="E27" i="55"/>
  <c r="D55" i="55"/>
  <c r="E26" i="55"/>
  <c r="E25" i="55"/>
  <c r="E24" i="55"/>
  <c r="D51" i="55"/>
  <c r="E22" i="55"/>
  <c r="D49" i="55"/>
  <c r="E21" i="55"/>
  <c r="E20" i="55"/>
  <c r="D47" i="55"/>
  <c r="E19" i="55"/>
  <c r="D46" i="55"/>
  <c r="E18" i="55"/>
  <c r="D45" i="55"/>
  <c r="E17" i="55"/>
  <c r="J16" i="55"/>
  <c r="I16" i="55"/>
  <c r="E16" i="55"/>
  <c r="J15" i="55"/>
  <c r="I15" i="55"/>
  <c r="E15" i="55"/>
  <c r="J14" i="55"/>
  <c r="I14" i="55"/>
  <c r="E14" i="55"/>
  <c r="D40" i="55"/>
  <c r="J13" i="55"/>
  <c r="I13" i="55"/>
  <c r="E13" i="55"/>
  <c r="D39" i="55"/>
  <c r="J12" i="55"/>
  <c r="I12" i="55"/>
  <c r="J11" i="55"/>
  <c r="I11" i="55"/>
  <c r="E11" i="55"/>
  <c r="D37" i="55"/>
  <c r="J10" i="55"/>
  <c r="I10" i="55"/>
  <c r="J9" i="55"/>
  <c r="I9" i="55"/>
  <c r="E9" i="55"/>
  <c r="J8" i="55"/>
  <c r="I8" i="55"/>
  <c r="E8" i="55"/>
  <c r="J7" i="55"/>
  <c r="I7" i="55"/>
  <c r="E7" i="55"/>
  <c r="J6" i="55"/>
  <c r="I6" i="55"/>
  <c r="E6" i="55"/>
  <c r="D34" i="55"/>
  <c r="J5" i="55"/>
  <c r="I5" i="55"/>
  <c r="E5" i="55"/>
  <c r="E4" i="55"/>
  <c r="E3" i="55"/>
  <c r="Q26" i="54"/>
  <c r="O26" i="54"/>
  <c r="J26" i="54"/>
  <c r="I26" i="54"/>
  <c r="G26" i="54"/>
  <c r="Q25" i="54"/>
  <c r="M25" i="54"/>
  <c r="K25" i="54"/>
  <c r="J25" i="54"/>
  <c r="I25" i="54"/>
  <c r="Q24" i="54"/>
  <c r="O24" i="54"/>
  <c r="M24" i="54"/>
  <c r="J24" i="54"/>
  <c r="I24" i="54"/>
  <c r="G24" i="54"/>
  <c r="Q20" i="54"/>
  <c r="P20" i="54"/>
  <c r="O20" i="54"/>
  <c r="N20" i="54"/>
  <c r="M20" i="54"/>
  <c r="L20" i="54"/>
  <c r="K20" i="54"/>
  <c r="J20" i="54"/>
  <c r="I20" i="54"/>
  <c r="H20" i="54"/>
  <c r="G20" i="54"/>
  <c r="F20" i="54"/>
  <c r="F23" i="54"/>
  <c r="Q19" i="54"/>
  <c r="P19" i="54"/>
  <c r="O19" i="54"/>
  <c r="N19" i="54"/>
  <c r="M19" i="54"/>
  <c r="L19" i="54"/>
  <c r="K19" i="54"/>
  <c r="J19" i="54"/>
  <c r="I19" i="54"/>
  <c r="H19" i="54"/>
  <c r="G19" i="54"/>
  <c r="F19" i="54"/>
  <c r="Q18" i="54"/>
  <c r="P18" i="54"/>
  <c r="O18" i="54"/>
  <c r="O25" i="54"/>
  <c r="N18" i="54"/>
  <c r="M18" i="54"/>
  <c r="M26" i="54"/>
  <c r="L18" i="54"/>
  <c r="K18" i="54"/>
  <c r="K26" i="54"/>
  <c r="J18" i="54"/>
  <c r="I18" i="54"/>
  <c r="H18" i="54"/>
  <c r="G18" i="54"/>
  <c r="G25" i="54"/>
  <c r="F18" i="54"/>
  <c r="D57" i="53"/>
  <c r="C57" i="53"/>
  <c r="C56" i="53"/>
  <c r="D55" i="53"/>
  <c r="C55" i="53"/>
  <c r="D54" i="53"/>
  <c r="C54" i="53"/>
  <c r="D53" i="53"/>
  <c r="D52" i="53"/>
  <c r="C52" i="53"/>
  <c r="C51" i="53"/>
  <c r="C50" i="53"/>
  <c r="D49" i="53"/>
  <c r="C49" i="53"/>
  <c r="C48" i="53"/>
  <c r="C47" i="53"/>
  <c r="C46" i="53"/>
  <c r="D45" i="53"/>
  <c r="C45" i="53"/>
  <c r="C44" i="53"/>
  <c r="D42" i="53"/>
  <c r="C42" i="53"/>
  <c r="C41" i="53"/>
  <c r="C40" i="53"/>
  <c r="C39" i="53"/>
  <c r="C38" i="53"/>
  <c r="C37" i="53"/>
  <c r="D36" i="53"/>
  <c r="D35" i="53"/>
  <c r="C34" i="53"/>
  <c r="C33" i="53"/>
  <c r="E30" i="53"/>
  <c r="E29" i="53"/>
  <c r="E28" i="53"/>
  <c r="D56" i="53"/>
  <c r="H44" i="53"/>
  <c r="E27" i="53"/>
  <c r="E26" i="53"/>
  <c r="E25" i="53"/>
  <c r="E24" i="53"/>
  <c r="D51" i="53"/>
  <c r="E22" i="53"/>
  <c r="E21" i="53"/>
  <c r="D48" i="53"/>
  <c r="H43" i="53"/>
  <c r="E20" i="53"/>
  <c r="D47" i="53"/>
  <c r="E19" i="53"/>
  <c r="D46" i="53"/>
  <c r="E18" i="53"/>
  <c r="E17" i="53"/>
  <c r="D44" i="53"/>
  <c r="J16" i="53"/>
  <c r="I16" i="53"/>
  <c r="E16" i="53"/>
  <c r="D43" i="53"/>
  <c r="J15" i="53"/>
  <c r="I15" i="53"/>
  <c r="E15" i="53"/>
  <c r="D41" i="53"/>
  <c r="J14" i="53"/>
  <c r="I14" i="53"/>
  <c r="E14" i="53"/>
  <c r="D40" i="53"/>
  <c r="J13" i="53"/>
  <c r="I13" i="53"/>
  <c r="E13" i="53"/>
  <c r="D39" i="53"/>
  <c r="J12" i="53"/>
  <c r="I12" i="53"/>
  <c r="J11" i="53"/>
  <c r="I11" i="53"/>
  <c r="E11" i="53"/>
  <c r="D37" i="53"/>
  <c r="J10" i="53"/>
  <c r="I10" i="53"/>
  <c r="J9" i="53"/>
  <c r="I9" i="53"/>
  <c r="E9" i="53"/>
  <c r="J8" i="53"/>
  <c r="I8" i="53"/>
  <c r="E8" i="53"/>
  <c r="J7" i="53"/>
  <c r="I7" i="53"/>
  <c r="E7" i="53"/>
  <c r="J6" i="53"/>
  <c r="I6" i="53"/>
  <c r="E6" i="53"/>
  <c r="D34" i="53"/>
  <c r="J5" i="53"/>
  <c r="J17" i="53"/>
  <c r="D23" i="53"/>
  <c r="E23" i="53"/>
  <c r="D50" i="53"/>
  <c r="I5" i="53"/>
  <c r="E5" i="53"/>
  <c r="E4" i="53"/>
  <c r="D33" i="53"/>
  <c r="E3" i="53"/>
  <c r="C57" i="52"/>
  <c r="C56" i="52"/>
  <c r="C55" i="52"/>
  <c r="C54" i="52"/>
  <c r="D52" i="52"/>
  <c r="C52" i="52"/>
  <c r="C51" i="52"/>
  <c r="C50" i="52"/>
  <c r="D49" i="52"/>
  <c r="C49" i="52"/>
  <c r="C48" i="52"/>
  <c r="C47" i="52"/>
  <c r="C46" i="52"/>
  <c r="D45" i="52"/>
  <c r="C45" i="52"/>
  <c r="C44" i="52"/>
  <c r="C42" i="52"/>
  <c r="D41" i="52"/>
  <c r="H43" i="52"/>
  <c r="C41" i="52"/>
  <c r="C40" i="52"/>
  <c r="C39" i="52"/>
  <c r="C38" i="52"/>
  <c r="C37" i="52"/>
  <c r="D35" i="52"/>
  <c r="C34" i="52"/>
  <c r="C33" i="52"/>
  <c r="E30" i="52"/>
  <c r="D57" i="52"/>
  <c r="E29" i="52"/>
  <c r="E28" i="52"/>
  <c r="D56" i="52"/>
  <c r="H44" i="52"/>
  <c r="E27" i="52"/>
  <c r="D55" i="52"/>
  <c r="E26" i="52"/>
  <c r="E25" i="52"/>
  <c r="E24" i="52"/>
  <c r="D51" i="52"/>
  <c r="E22" i="52"/>
  <c r="E21" i="52"/>
  <c r="D48" i="52"/>
  <c r="E20" i="52"/>
  <c r="D47" i="52"/>
  <c r="E19" i="52"/>
  <c r="D46" i="52"/>
  <c r="E18" i="52"/>
  <c r="E17" i="52"/>
  <c r="D44" i="52"/>
  <c r="J16" i="52"/>
  <c r="I16" i="52"/>
  <c r="E16" i="52"/>
  <c r="D43" i="52"/>
  <c r="J15" i="52"/>
  <c r="I15" i="52"/>
  <c r="E15" i="52"/>
  <c r="J14" i="52"/>
  <c r="I14" i="52"/>
  <c r="E14" i="52"/>
  <c r="D40" i="52"/>
  <c r="J13" i="52"/>
  <c r="I13" i="52"/>
  <c r="E13" i="52"/>
  <c r="D39" i="52"/>
  <c r="J12" i="52"/>
  <c r="I12" i="52"/>
  <c r="J11" i="52"/>
  <c r="I11" i="52"/>
  <c r="E11" i="52"/>
  <c r="D37" i="52"/>
  <c r="J10" i="52"/>
  <c r="I10" i="52"/>
  <c r="J9" i="52"/>
  <c r="I9" i="52"/>
  <c r="E9" i="52"/>
  <c r="D36" i="52"/>
  <c r="J8" i="52"/>
  <c r="I8" i="52"/>
  <c r="E8" i="52"/>
  <c r="J7" i="52"/>
  <c r="I7" i="52"/>
  <c r="E7" i="52"/>
  <c r="J6" i="52"/>
  <c r="I6" i="52"/>
  <c r="E6" i="52"/>
  <c r="D34" i="52"/>
  <c r="J5" i="52"/>
  <c r="I5" i="52"/>
  <c r="E5" i="52"/>
  <c r="E4" i="52"/>
  <c r="D33" i="52"/>
  <c r="E3" i="52"/>
  <c r="D55" i="51"/>
  <c r="C55" i="51"/>
  <c r="D54" i="51"/>
  <c r="H44" i="51"/>
  <c r="C54" i="51"/>
  <c r="C53" i="51"/>
  <c r="D52" i="51"/>
  <c r="C52" i="51"/>
  <c r="D51" i="51"/>
  <c r="C51" i="51"/>
  <c r="D50" i="51"/>
  <c r="C50" i="51"/>
  <c r="C49" i="51"/>
  <c r="D48" i="51"/>
  <c r="C48" i="51"/>
  <c r="D47" i="51"/>
  <c r="C47" i="51"/>
  <c r="D46" i="51"/>
  <c r="C46" i="51"/>
  <c r="C45" i="51"/>
  <c r="C44" i="51"/>
  <c r="D43" i="51"/>
  <c r="C43" i="51"/>
  <c r="C42" i="51"/>
  <c r="C41" i="51"/>
  <c r="D40" i="51"/>
  <c r="C40" i="51"/>
  <c r="D39" i="51"/>
  <c r="C39" i="51"/>
  <c r="D38" i="51"/>
  <c r="H42" i="51"/>
  <c r="C38" i="51"/>
  <c r="D37" i="51"/>
  <c r="C37" i="51"/>
  <c r="D35" i="51"/>
  <c r="C34" i="51"/>
  <c r="D33" i="51"/>
  <c r="C33" i="51"/>
  <c r="E30" i="51"/>
  <c r="E29" i="51"/>
  <c r="E28" i="51"/>
  <c r="E27" i="51"/>
  <c r="D53" i="51"/>
  <c r="E26" i="51"/>
  <c r="E25" i="51"/>
  <c r="E24" i="51"/>
  <c r="E23" i="51"/>
  <c r="D49" i="51"/>
  <c r="E22" i="51"/>
  <c r="E21" i="51"/>
  <c r="E20" i="51"/>
  <c r="E19" i="51"/>
  <c r="D45" i="51"/>
  <c r="E18" i="51"/>
  <c r="D44" i="51"/>
  <c r="E17" i="51"/>
  <c r="E16" i="51"/>
  <c r="D42" i="51"/>
  <c r="K15" i="51"/>
  <c r="J15" i="51"/>
  <c r="E15" i="51"/>
  <c r="D41" i="51"/>
  <c r="H43" i="51"/>
  <c r="K14" i="51"/>
  <c r="J14" i="51"/>
  <c r="E14" i="51"/>
  <c r="K13" i="51"/>
  <c r="J13" i="51"/>
  <c r="E13" i="51"/>
  <c r="K12" i="51"/>
  <c r="J12" i="51"/>
  <c r="E12" i="51"/>
  <c r="K11" i="51"/>
  <c r="J11" i="51"/>
  <c r="E11" i="51"/>
  <c r="K10" i="51"/>
  <c r="J10" i="51"/>
  <c r="E10" i="51"/>
  <c r="K9" i="51"/>
  <c r="J9" i="51"/>
  <c r="E9" i="51"/>
  <c r="D36" i="51"/>
  <c r="K8" i="51"/>
  <c r="J8" i="51"/>
  <c r="J16" i="51"/>
  <c r="E8" i="51"/>
  <c r="K7" i="51"/>
  <c r="J7" i="51"/>
  <c r="E7" i="51"/>
  <c r="K6" i="51"/>
  <c r="J6" i="51"/>
  <c r="E6" i="51"/>
  <c r="D34" i="51"/>
  <c r="K5" i="51"/>
  <c r="K16" i="51"/>
  <c r="J5" i="51"/>
  <c r="E5" i="51"/>
  <c r="K4" i="51"/>
  <c r="J4" i="51"/>
  <c r="E4" i="51"/>
  <c r="E3" i="51"/>
  <c r="D57" i="50"/>
  <c r="C57" i="50"/>
  <c r="C56" i="50"/>
  <c r="D55" i="50"/>
  <c r="C55" i="50"/>
  <c r="D54" i="50"/>
  <c r="C54" i="50"/>
  <c r="D53" i="50"/>
  <c r="D52" i="50"/>
  <c r="C52" i="50"/>
  <c r="C51" i="50"/>
  <c r="C50" i="50"/>
  <c r="C49" i="50"/>
  <c r="C48" i="50"/>
  <c r="C47" i="50"/>
  <c r="C46" i="50"/>
  <c r="D45" i="50"/>
  <c r="C45" i="50"/>
  <c r="C44" i="50"/>
  <c r="D42" i="50"/>
  <c r="C42" i="50"/>
  <c r="C41" i="50"/>
  <c r="C40" i="50"/>
  <c r="C39" i="50"/>
  <c r="C38" i="50"/>
  <c r="C37" i="50"/>
  <c r="D35" i="50"/>
  <c r="C34" i="50"/>
  <c r="C33" i="50"/>
  <c r="H35" i="50"/>
  <c r="E30" i="50"/>
  <c r="E29" i="50"/>
  <c r="E28" i="50"/>
  <c r="D56" i="50"/>
  <c r="H44" i="50"/>
  <c r="E27" i="50"/>
  <c r="E26" i="50"/>
  <c r="E25" i="50"/>
  <c r="E24" i="50"/>
  <c r="D51" i="50"/>
  <c r="E22" i="50"/>
  <c r="D49" i="50"/>
  <c r="E21" i="50"/>
  <c r="D48" i="50"/>
  <c r="E20" i="50"/>
  <c r="D47" i="50"/>
  <c r="E19" i="50"/>
  <c r="D46" i="50"/>
  <c r="E18" i="50"/>
  <c r="E17" i="50"/>
  <c r="D44" i="50"/>
  <c r="J16" i="50"/>
  <c r="I16" i="50"/>
  <c r="E16" i="50"/>
  <c r="D43" i="50"/>
  <c r="J15" i="50"/>
  <c r="I15" i="50"/>
  <c r="E15" i="50"/>
  <c r="D41" i="50"/>
  <c r="H43" i="50"/>
  <c r="J14" i="50"/>
  <c r="I14" i="50"/>
  <c r="E14" i="50"/>
  <c r="D40" i="50"/>
  <c r="J13" i="50"/>
  <c r="I13" i="50"/>
  <c r="E13" i="50"/>
  <c r="D39" i="50"/>
  <c r="J12" i="50"/>
  <c r="I12" i="50"/>
  <c r="J11" i="50"/>
  <c r="I11" i="50"/>
  <c r="E11" i="50"/>
  <c r="D37" i="50"/>
  <c r="J10" i="50"/>
  <c r="I10" i="50"/>
  <c r="E10" i="50"/>
  <c r="J9" i="50"/>
  <c r="I9" i="50"/>
  <c r="E9" i="50"/>
  <c r="D36" i="50"/>
  <c r="J8" i="50"/>
  <c r="I8" i="50"/>
  <c r="E8" i="50"/>
  <c r="J7" i="50"/>
  <c r="I7" i="50"/>
  <c r="E7" i="50"/>
  <c r="J6" i="50"/>
  <c r="I6" i="50"/>
  <c r="I17" i="50"/>
  <c r="D12" i="50"/>
  <c r="E12" i="50"/>
  <c r="D38" i="50"/>
  <c r="H42" i="50"/>
  <c r="E6" i="50"/>
  <c r="D34" i="50"/>
  <c r="J5" i="50"/>
  <c r="I5" i="50"/>
  <c r="E5" i="50"/>
  <c r="E4" i="50"/>
  <c r="D33" i="50"/>
  <c r="E3" i="50"/>
  <c r="D58" i="49"/>
  <c r="C58" i="49"/>
  <c r="D57" i="49"/>
  <c r="H45" i="49"/>
  <c r="C57" i="49"/>
  <c r="C56" i="49"/>
  <c r="D55" i="49"/>
  <c r="C55" i="49"/>
  <c r="D54" i="49"/>
  <c r="C54" i="49"/>
  <c r="D53" i="49"/>
  <c r="C53" i="49"/>
  <c r="C51" i="49"/>
  <c r="C50" i="49"/>
  <c r="D49" i="49"/>
  <c r="C49" i="49"/>
  <c r="D48" i="49"/>
  <c r="C48" i="49"/>
  <c r="D47" i="49"/>
  <c r="C46" i="49"/>
  <c r="D45" i="49"/>
  <c r="C45" i="49"/>
  <c r="C44" i="49"/>
  <c r="C43" i="49"/>
  <c r="C42" i="49"/>
  <c r="C41" i="49"/>
  <c r="D40" i="49"/>
  <c r="C40" i="49"/>
  <c r="C39" i="49"/>
  <c r="C38" i="49"/>
  <c r="C37" i="49"/>
  <c r="D36" i="49"/>
  <c r="C36" i="49"/>
  <c r="B35" i="49"/>
  <c r="C35" i="49"/>
  <c r="C34" i="49"/>
  <c r="E31" i="49"/>
  <c r="E30" i="49"/>
  <c r="E29" i="49"/>
  <c r="E28" i="49"/>
  <c r="D56" i="49"/>
  <c r="E27" i="49"/>
  <c r="E26" i="49"/>
  <c r="E25" i="49"/>
  <c r="E24" i="49"/>
  <c r="D52" i="49"/>
  <c r="E22" i="49"/>
  <c r="D50" i="49"/>
  <c r="E21" i="49"/>
  <c r="E20" i="49"/>
  <c r="D19" i="49"/>
  <c r="E19" i="49"/>
  <c r="D46" i="49"/>
  <c r="E18" i="49"/>
  <c r="E17" i="49"/>
  <c r="D44" i="49"/>
  <c r="E16" i="49"/>
  <c r="D43" i="49"/>
  <c r="J15" i="49"/>
  <c r="I15" i="49"/>
  <c r="E15" i="49"/>
  <c r="D42" i="49"/>
  <c r="H44" i="49"/>
  <c r="J14" i="49"/>
  <c r="I14" i="49"/>
  <c r="E14" i="49"/>
  <c r="D41" i="49"/>
  <c r="J13" i="49"/>
  <c r="I13" i="49"/>
  <c r="E13" i="49"/>
  <c r="J12" i="49"/>
  <c r="I12" i="49"/>
  <c r="J11" i="49"/>
  <c r="I11" i="49"/>
  <c r="E11" i="49"/>
  <c r="D38" i="49"/>
  <c r="J10" i="49"/>
  <c r="I10" i="49"/>
  <c r="E10" i="49"/>
  <c r="J9" i="49"/>
  <c r="I9" i="49"/>
  <c r="E9" i="49"/>
  <c r="D37" i="49"/>
  <c r="J8" i="49"/>
  <c r="I8" i="49"/>
  <c r="E8" i="49"/>
  <c r="J7" i="49"/>
  <c r="I7" i="49"/>
  <c r="E7" i="49"/>
  <c r="J6" i="49"/>
  <c r="I6" i="49"/>
  <c r="I16" i="49"/>
  <c r="D12" i="49"/>
  <c r="E12" i="49"/>
  <c r="D39" i="49"/>
  <c r="H43" i="49"/>
  <c r="E6" i="49"/>
  <c r="D35" i="49"/>
  <c r="J5" i="49"/>
  <c r="I5" i="49"/>
  <c r="E5" i="49"/>
  <c r="J4" i="49"/>
  <c r="I4" i="49"/>
  <c r="E4" i="49"/>
  <c r="D34" i="49"/>
  <c r="E3" i="49"/>
  <c r="C61" i="48"/>
  <c r="D60" i="48"/>
  <c r="C60" i="48"/>
  <c r="D59" i="48"/>
  <c r="C59" i="48"/>
  <c r="D58" i="48"/>
  <c r="C57" i="48"/>
  <c r="C56" i="48"/>
  <c r="C55" i="48"/>
  <c r="C53" i="48"/>
  <c r="C52" i="48"/>
  <c r="C51" i="48"/>
  <c r="D49" i="48"/>
  <c r="C49" i="48"/>
  <c r="C48" i="48"/>
  <c r="C47" i="48"/>
  <c r="D46" i="48"/>
  <c r="C46" i="48"/>
  <c r="H45" i="48"/>
  <c r="D45" i="48"/>
  <c r="D44" i="48"/>
  <c r="C44" i="48"/>
  <c r="C43" i="48"/>
  <c r="D42" i="48"/>
  <c r="D41" i="48"/>
  <c r="C41" i="48"/>
  <c r="C40" i="48"/>
  <c r="C39" i="48"/>
  <c r="D38" i="48"/>
  <c r="C38" i="48"/>
  <c r="C37" i="48"/>
  <c r="C36" i="48"/>
  <c r="D35" i="48"/>
  <c r="C35" i="48"/>
  <c r="D34" i="48"/>
  <c r="C34" i="48"/>
  <c r="E31" i="48"/>
  <c r="D62" i="48"/>
  <c r="E30" i="48"/>
  <c r="E29" i="48"/>
  <c r="E28" i="48"/>
  <c r="E27" i="48"/>
  <c r="D57" i="48"/>
  <c r="E26" i="48"/>
  <c r="D56" i="48"/>
  <c r="E25" i="48"/>
  <c r="D55" i="48"/>
  <c r="E24" i="48"/>
  <c r="E22" i="48"/>
  <c r="D52" i="48"/>
  <c r="E21" i="48"/>
  <c r="D51" i="48"/>
  <c r="E20" i="48"/>
  <c r="D50" i="48"/>
  <c r="E19" i="48"/>
  <c r="D48" i="48"/>
  <c r="E18" i="48"/>
  <c r="D47" i="48"/>
  <c r="E17" i="48"/>
  <c r="E16" i="48"/>
  <c r="J15" i="48"/>
  <c r="I15" i="48"/>
  <c r="E15" i="48"/>
  <c r="D43" i="48"/>
  <c r="J14" i="48"/>
  <c r="I14" i="48"/>
  <c r="E14" i="48"/>
  <c r="J13" i="48"/>
  <c r="I13" i="48"/>
  <c r="E13" i="48"/>
  <c r="D40" i="48"/>
  <c r="J12" i="48"/>
  <c r="I12" i="48"/>
  <c r="J11" i="48"/>
  <c r="I11" i="48"/>
  <c r="E11" i="48"/>
  <c r="J10" i="48"/>
  <c r="I10" i="48"/>
  <c r="E10" i="48"/>
  <c r="J9" i="48"/>
  <c r="I9" i="48"/>
  <c r="E9" i="48"/>
  <c r="D37" i="48"/>
  <c r="J8" i="48"/>
  <c r="I8" i="48"/>
  <c r="E8" i="48"/>
  <c r="D36" i="48"/>
  <c r="J7" i="48"/>
  <c r="I7" i="48"/>
  <c r="E7" i="48"/>
  <c r="J6" i="48"/>
  <c r="I6" i="48"/>
  <c r="E6" i="48"/>
  <c r="J5" i="48"/>
  <c r="I5" i="48"/>
  <c r="E5" i="48"/>
  <c r="J4" i="48"/>
  <c r="I4" i="48"/>
  <c r="E4" i="48"/>
  <c r="E3" i="48"/>
  <c r="C55" i="47"/>
  <c r="C54" i="47"/>
  <c r="C53" i="47"/>
  <c r="C52" i="47"/>
  <c r="C51" i="47"/>
  <c r="C50" i="47"/>
  <c r="C49" i="47"/>
  <c r="D48" i="47"/>
  <c r="C48" i="47"/>
  <c r="C47" i="47"/>
  <c r="C46" i="47"/>
  <c r="C45" i="47"/>
  <c r="C44" i="47"/>
  <c r="C43" i="47"/>
  <c r="C42" i="47"/>
  <c r="D41" i="47"/>
  <c r="C41" i="47"/>
  <c r="D40" i="47"/>
  <c r="C40" i="47"/>
  <c r="D39" i="47"/>
  <c r="C39" i="47"/>
  <c r="C38" i="47"/>
  <c r="C37" i="47"/>
  <c r="C36" i="47"/>
  <c r="D35" i="47"/>
  <c r="C35" i="47"/>
  <c r="D34" i="47"/>
  <c r="C34" i="47"/>
  <c r="C33" i="47"/>
  <c r="E30" i="47"/>
  <c r="D55" i="47"/>
  <c r="E29" i="47"/>
  <c r="E28" i="47"/>
  <c r="D54" i="47"/>
  <c r="H44" i="47"/>
  <c r="E27" i="47"/>
  <c r="D53" i="47"/>
  <c r="E26" i="47"/>
  <c r="D52" i="47"/>
  <c r="E25" i="47"/>
  <c r="D51" i="47"/>
  <c r="E24" i="47"/>
  <c r="D50" i="47"/>
  <c r="E23" i="47"/>
  <c r="D49" i="47"/>
  <c r="E22" i="47"/>
  <c r="E21" i="47"/>
  <c r="D47" i="47"/>
  <c r="E20" i="47"/>
  <c r="D46" i="47"/>
  <c r="E19" i="47"/>
  <c r="D45" i="47"/>
  <c r="E18" i="47"/>
  <c r="D44" i="47"/>
  <c r="E17" i="47"/>
  <c r="D43" i="47"/>
  <c r="E16" i="47"/>
  <c r="D42" i="47"/>
  <c r="E15" i="47"/>
  <c r="E14" i="47"/>
  <c r="E13" i="47"/>
  <c r="E12" i="47"/>
  <c r="D38" i="47"/>
  <c r="H42" i="47"/>
  <c r="E11" i="47"/>
  <c r="D37" i="47"/>
  <c r="E10" i="47"/>
  <c r="E9" i="47"/>
  <c r="D36" i="47"/>
  <c r="E8" i="47"/>
  <c r="E7" i="47"/>
  <c r="E6" i="47"/>
  <c r="E5" i="47"/>
  <c r="E4" i="47"/>
  <c r="D33" i="47"/>
  <c r="E3" i="47"/>
  <c r="D56" i="46"/>
  <c r="C56" i="46"/>
  <c r="C55" i="46"/>
  <c r="C54" i="46"/>
  <c r="D53" i="46"/>
  <c r="C53" i="46"/>
  <c r="D52" i="46"/>
  <c r="C52" i="46"/>
  <c r="C51" i="46"/>
  <c r="C50" i="46"/>
  <c r="C49" i="46"/>
  <c r="C48" i="46"/>
  <c r="C47" i="46"/>
  <c r="C46" i="46"/>
  <c r="D45" i="46"/>
  <c r="C45" i="46"/>
  <c r="H44" i="46"/>
  <c r="C44" i="46"/>
  <c r="C43" i="46"/>
  <c r="D42" i="46"/>
  <c r="D41" i="46"/>
  <c r="C41" i="46"/>
  <c r="C40" i="46"/>
  <c r="C39" i="46"/>
  <c r="C38" i="46"/>
  <c r="C37" i="46"/>
  <c r="D36" i="46"/>
  <c r="C36" i="46"/>
  <c r="D35" i="46"/>
  <c r="C35" i="46"/>
  <c r="C34" i="46"/>
  <c r="D33" i="46"/>
  <c r="C33" i="46"/>
  <c r="E30" i="46"/>
  <c r="E29" i="46"/>
  <c r="E28" i="46"/>
  <c r="D55" i="46"/>
  <c r="E27" i="46"/>
  <c r="D54" i="46"/>
  <c r="E26" i="46"/>
  <c r="E25" i="46"/>
  <c r="E24" i="46"/>
  <c r="D51" i="46"/>
  <c r="E23" i="46"/>
  <c r="D50" i="46"/>
  <c r="E22" i="46"/>
  <c r="D49" i="46"/>
  <c r="E21" i="46"/>
  <c r="D48" i="46"/>
  <c r="E20" i="46"/>
  <c r="D47" i="46"/>
  <c r="E19" i="46"/>
  <c r="D46" i="46"/>
  <c r="J18" i="46"/>
  <c r="I18" i="46"/>
  <c r="E18" i="46"/>
  <c r="J17" i="46"/>
  <c r="I17" i="46"/>
  <c r="E17" i="46"/>
  <c r="D44" i="46"/>
  <c r="J16" i="46"/>
  <c r="I16" i="46"/>
  <c r="E16" i="46"/>
  <c r="D43" i="46"/>
  <c r="J15" i="46"/>
  <c r="I15" i="46"/>
  <c r="E15" i="46"/>
  <c r="J14" i="46"/>
  <c r="I14" i="46"/>
  <c r="E14" i="46"/>
  <c r="D40" i="46"/>
  <c r="J13" i="46"/>
  <c r="I13" i="46"/>
  <c r="E13" i="46"/>
  <c r="D39" i="46"/>
  <c r="J12" i="46"/>
  <c r="I12" i="46"/>
  <c r="E12" i="46"/>
  <c r="D38" i="46"/>
  <c r="H42" i="46"/>
  <c r="J11" i="46"/>
  <c r="I11" i="46"/>
  <c r="E11" i="46"/>
  <c r="D37" i="46"/>
  <c r="J10" i="46"/>
  <c r="I10" i="46"/>
  <c r="E10" i="46"/>
  <c r="J9" i="46"/>
  <c r="I9" i="46"/>
  <c r="E9" i="46"/>
  <c r="J8" i="46"/>
  <c r="I8" i="46"/>
  <c r="E8" i="46"/>
  <c r="J7" i="46"/>
  <c r="I7" i="46"/>
  <c r="E7" i="46"/>
  <c r="E6" i="46"/>
  <c r="D34" i="46"/>
  <c r="E5" i="46"/>
  <c r="E4" i="46"/>
  <c r="E3" i="46"/>
  <c r="D56" i="45"/>
  <c r="C56" i="45"/>
  <c r="D55" i="45"/>
  <c r="H44" i="45"/>
  <c r="C55" i="45"/>
  <c r="C54" i="45"/>
  <c r="C53" i="45"/>
  <c r="C52" i="45"/>
  <c r="C51" i="45"/>
  <c r="C49" i="45"/>
  <c r="C48" i="45"/>
  <c r="D47" i="45"/>
  <c r="C47" i="45"/>
  <c r="C46" i="45"/>
  <c r="C45" i="45"/>
  <c r="D44" i="45"/>
  <c r="C44" i="45"/>
  <c r="H43" i="45"/>
  <c r="D43" i="45"/>
  <c r="C43" i="45"/>
  <c r="C41" i="45"/>
  <c r="D40" i="45"/>
  <c r="C40" i="45"/>
  <c r="D39" i="45"/>
  <c r="C39" i="45"/>
  <c r="C38" i="45"/>
  <c r="D37" i="45"/>
  <c r="C37" i="45"/>
  <c r="D36" i="45"/>
  <c r="C36" i="45"/>
  <c r="C35" i="45"/>
  <c r="D34" i="45"/>
  <c r="C34" i="45"/>
  <c r="H36" i="45"/>
  <c r="D33" i="45"/>
  <c r="C33" i="45"/>
  <c r="E30" i="45"/>
  <c r="E29" i="45"/>
  <c r="E28" i="45"/>
  <c r="E27" i="45"/>
  <c r="D54" i="45"/>
  <c r="E26" i="45"/>
  <c r="D53" i="45"/>
  <c r="E25" i="45"/>
  <c r="D52" i="45"/>
  <c r="E24" i="45"/>
  <c r="D51" i="45"/>
  <c r="E22" i="45"/>
  <c r="D49" i="45"/>
  <c r="E21" i="45"/>
  <c r="D48" i="45"/>
  <c r="E20" i="45"/>
  <c r="E19" i="45"/>
  <c r="D46" i="45"/>
  <c r="E18" i="45"/>
  <c r="D45" i="45"/>
  <c r="K17" i="45"/>
  <c r="D23" i="45"/>
  <c r="E23" i="45"/>
  <c r="D50" i="45"/>
  <c r="E17" i="45"/>
  <c r="K16" i="45"/>
  <c r="J16" i="45"/>
  <c r="E16" i="45"/>
  <c r="D42" i="45"/>
  <c r="K15" i="45"/>
  <c r="J15" i="45"/>
  <c r="E15" i="45"/>
  <c r="D41" i="45"/>
  <c r="K14" i="45"/>
  <c r="J14" i="45"/>
  <c r="E14" i="45"/>
  <c r="K13" i="45"/>
  <c r="J13" i="45"/>
  <c r="E13" i="45"/>
  <c r="K12" i="45"/>
  <c r="J12" i="45"/>
  <c r="E12" i="45"/>
  <c r="D38" i="45"/>
  <c r="H42" i="45"/>
  <c r="K11" i="45"/>
  <c r="J11" i="45"/>
  <c r="E11" i="45"/>
  <c r="K10" i="45"/>
  <c r="J10" i="45"/>
  <c r="E10" i="45"/>
  <c r="K9" i="45"/>
  <c r="J9" i="45"/>
  <c r="E9" i="45"/>
  <c r="K8" i="45"/>
  <c r="J8" i="45"/>
  <c r="E8" i="45"/>
  <c r="D35" i="45"/>
  <c r="K7" i="45"/>
  <c r="J7" i="45"/>
  <c r="E7" i="45"/>
  <c r="K6" i="45"/>
  <c r="J6" i="45"/>
  <c r="E6" i="45"/>
  <c r="K5" i="45"/>
  <c r="J5" i="45"/>
  <c r="E5" i="45"/>
  <c r="E4" i="45"/>
  <c r="E3" i="45"/>
  <c r="C55" i="44"/>
  <c r="C54" i="44"/>
  <c r="D53" i="44"/>
  <c r="C53" i="44"/>
  <c r="D52" i="44"/>
  <c r="C52" i="44"/>
  <c r="C51" i="44"/>
  <c r="C50" i="44"/>
  <c r="C49" i="44"/>
  <c r="D48" i="44"/>
  <c r="C48" i="44"/>
  <c r="C47" i="44"/>
  <c r="D46" i="44"/>
  <c r="C46" i="44"/>
  <c r="D45" i="44"/>
  <c r="C45" i="44"/>
  <c r="D44" i="44"/>
  <c r="C44" i="44"/>
  <c r="C43" i="44"/>
  <c r="C42" i="44"/>
  <c r="D41" i="44"/>
  <c r="C41" i="44"/>
  <c r="C40" i="44"/>
  <c r="D39" i="44"/>
  <c r="C39" i="44"/>
  <c r="D38" i="44"/>
  <c r="H42" i="44"/>
  <c r="C37" i="44"/>
  <c r="D36" i="44"/>
  <c r="C36" i="44"/>
  <c r="C35" i="44"/>
  <c r="C34" i="44"/>
  <c r="D33" i="44"/>
  <c r="C33" i="44"/>
  <c r="E30" i="44"/>
  <c r="D55" i="44"/>
  <c r="E29" i="44"/>
  <c r="E28" i="44"/>
  <c r="D54" i="44"/>
  <c r="H44" i="44"/>
  <c r="E27" i="44"/>
  <c r="E26" i="44"/>
  <c r="E25" i="44"/>
  <c r="D51" i="44"/>
  <c r="E24" i="44"/>
  <c r="D50" i="44"/>
  <c r="E22" i="44"/>
  <c r="E21" i="44"/>
  <c r="D47" i="44"/>
  <c r="E20" i="44"/>
  <c r="E19" i="44"/>
  <c r="E18" i="44"/>
  <c r="E17" i="44"/>
  <c r="D43" i="44"/>
  <c r="E16" i="44"/>
  <c r="D42" i="44"/>
  <c r="J15" i="44"/>
  <c r="I15" i="44"/>
  <c r="E15" i="44"/>
  <c r="J14" i="44"/>
  <c r="I14" i="44"/>
  <c r="E14" i="44"/>
  <c r="D40" i="44"/>
  <c r="J13" i="44"/>
  <c r="I13" i="44"/>
  <c r="E13" i="44"/>
  <c r="J12" i="44"/>
  <c r="I12" i="44"/>
  <c r="E12" i="44"/>
  <c r="J11" i="44"/>
  <c r="I11" i="44"/>
  <c r="E11" i="44"/>
  <c r="D37" i="44"/>
  <c r="J10" i="44"/>
  <c r="I10" i="44"/>
  <c r="E10" i="44"/>
  <c r="J9" i="44"/>
  <c r="I9" i="44"/>
  <c r="E9" i="44"/>
  <c r="J8" i="44"/>
  <c r="I8" i="44"/>
  <c r="E8" i="44"/>
  <c r="D35" i="44"/>
  <c r="J7" i="44"/>
  <c r="I7" i="44"/>
  <c r="E7" i="44"/>
  <c r="J6" i="44"/>
  <c r="I6" i="44"/>
  <c r="E6" i="44"/>
  <c r="D34" i="44"/>
  <c r="J5" i="44"/>
  <c r="J16" i="44"/>
  <c r="D23" i="44"/>
  <c r="E23" i="44"/>
  <c r="D49" i="44"/>
  <c r="I5" i="44"/>
  <c r="I16" i="44"/>
  <c r="E5" i="44"/>
  <c r="J4" i="44"/>
  <c r="I4" i="44"/>
  <c r="E4" i="44"/>
  <c r="E3" i="44"/>
  <c r="C56" i="43"/>
  <c r="C55" i="43"/>
  <c r="C54" i="43"/>
  <c r="D53" i="43"/>
  <c r="C53" i="43"/>
  <c r="D52" i="43"/>
  <c r="C52" i="43"/>
  <c r="D51" i="43"/>
  <c r="C51" i="43"/>
  <c r="C50" i="43"/>
  <c r="C49" i="43"/>
  <c r="C48" i="43"/>
  <c r="C47" i="43"/>
  <c r="D46" i="43"/>
  <c r="C46" i="43"/>
  <c r="D45" i="43"/>
  <c r="C45" i="43"/>
  <c r="D44" i="43"/>
  <c r="C44" i="43"/>
  <c r="C43" i="43"/>
  <c r="D42" i="43"/>
  <c r="D41" i="43"/>
  <c r="C41" i="43"/>
  <c r="C40" i="43"/>
  <c r="C39" i="43"/>
  <c r="C38" i="43"/>
  <c r="C37" i="43"/>
  <c r="C36" i="43"/>
  <c r="C35" i="43"/>
  <c r="C34" i="43"/>
  <c r="C33" i="43"/>
  <c r="E30" i="43"/>
  <c r="D56" i="43"/>
  <c r="E29" i="43"/>
  <c r="D29" i="43"/>
  <c r="E28" i="43"/>
  <c r="D55" i="43"/>
  <c r="H44" i="43"/>
  <c r="E27" i="43"/>
  <c r="D54" i="43"/>
  <c r="E26" i="43"/>
  <c r="E25" i="43"/>
  <c r="E24" i="43"/>
  <c r="E22" i="43"/>
  <c r="D49" i="43"/>
  <c r="E21" i="43"/>
  <c r="D48" i="43"/>
  <c r="E20" i="43"/>
  <c r="D47" i="43"/>
  <c r="E19" i="43"/>
  <c r="E18" i="43"/>
  <c r="E17" i="43"/>
  <c r="E16" i="43"/>
  <c r="D43" i="43"/>
  <c r="J15" i="43"/>
  <c r="I15" i="43"/>
  <c r="E15" i="43"/>
  <c r="J14" i="43"/>
  <c r="I14" i="43"/>
  <c r="E14" i="43"/>
  <c r="D40" i="43"/>
  <c r="J13" i="43"/>
  <c r="I13" i="43"/>
  <c r="E13" i="43"/>
  <c r="D39" i="43"/>
  <c r="J12" i="43"/>
  <c r="I12" i="43"/>
  <c r="J11" i="43"/>
  <c r="I11" i="43"/>
  <c r="E11" i="43"/>
  <c r="D37" i="43"/>
  <c r="J10" i="43"/>
  <c r="I10" i="43"/>
  <c r="E10" i="43"/>
  <c r="J9" i="43"/>
  <c r="I9" i="43"/>
  <c r="E9" i="43"/>
  <c r="D36" i="43"/>
  <c r="J8" i="43"/>
  <c r="I8" i="43"/>
  <c r="E8" i="43"/>
  <c r="D35" i="43"/>
  <c r="J7" i="43"/>
  <c r="I7" i="43"/>
  <c r="E7" i="43"/>
  <c r="J6" i="43"/>
  <c r="I6" i="43"/>
  <c r="E6" i="43"/>
  <c r="D34" i="43"/>
  <c r="J5" i="43"/>
  <c r="J16" i="43"/>
  <c r="D23" i="43"/>
  <c r="E23" i="43"/>
  <c r="D50" i="43"/>
  <c r="I5" i="43"/>
  <c r="I16" i="43"/>
  <c r="D12" i="43"/>
  <c r="E12" i="43"/>
  <c r="D38" i="43"/>
  <c r="H42" i="43"/>
  <c r="E5" i="43"/>
  <c r="J4" i="43"/>
  <c r="I4" i="43"/>
  <c r="E4" i="43"/>
  <c r="D33" i="43"/>
  <c r="H35" i="43"/>
  <c r="E3" i="43"/>
  <c r="D56" i="42"/>
  <c r="C56" i="42"/>
  <c r="C55" i="42"/>
  <c r="C54" i="42"/>
  <c r="C53" i="42"/>
  <c r="D52" i="42"/>
  <c r="C52" i="42"/>
  <c r="D51" i="42"/>
  <c r="C51" i="42"/>
  <c r="C50" i="42"/>
  <c r="C49" i="42"/>
  <c r="C48" i="42"/>
  <c r="D47" i="42"/>
  <c r="C47" i="42"/>
  <c r="C46" i="42"/>
  <c r="D45" i="42"/>
  <c r="C45" i="42"/>
  <c r="D44" i="42"/>
  <c r="C44" i="42"/>
  <c r="C43" i="42"/>
  <c r="D42" i="42"/>
  <c r="C42" i="42"/>
  <c r="D41" i="42"/>
  <c r="C41" i="42"/>
  <c r="C40" i="42"/>
  <c r="C39" i="42"/>
  <c r="C38" i="42"/>
  <c r="D37" i="42"/>
  <c r="C37" i="42"/>
  <c r="C36" i="42"/>
  <c r="D35" i="42"/>
  <c r="C35" i="42"/>
  <c r="C34" i="42"/>
  <c r="C33" i="42"/>
  <c r="E30" i="42"/>
  <c r="D55" i="42"/>
  <c r="E29" i="42"/>
  <c r="E28" i="42"/>
  <c r="D54" i="42"/>
  <c r="H44" i="42"/>
  <c r="E27" i="42"/>
  <c r="D53" i="42"/>
  <c r="E26" i="42"/>
  <c r="E25" i="42"/>
  <c r="E24" i="42"/>
  <c r="D50" i="42"/>
  <c r="E22" i="42"/>
  <c r="D48" i="42"/>
  <c r="E21" i="42"/>
  <c r="E20" i="42"/>
  <c r="D46" i="42"/>
  <c r="E19" i="42"/>
  <c r="E18" i="42"/>
  <c r="J17" i="42"/>
  <c r="I17" i="42"/>
  <c r="E17" i="42"/>
  <c r="D43" i="42"/>
  <c r="J16" i="42"/>
  <c r="I16" i="42"/>
  <c r="E16" i="42"/>
  <c r="J15" i="42"/>
  <c r="I15" i="42"/>
  <c r="E15" i="42"/>
  <c r="J14" i="42"/>
  <c r="I14" i="42"/>
  <c r="E14" i="42"/>
  <c r="D40" i="42"/>
  <c r="J13" i="42"/>
  <c r="I13" i="42"/>
  <c r="E13" i="42"/>
  <c r="D39" i="42"/>
  <c r="J12" i="42"/>
  <c r="I12" i="42"/>
  <c r="J11" i="42"/>
  <c r="I11" i="42"/>
  <c r="E11" i="42"/>
  <c r="J10" i="42"/>
  <c r="I10" i="42"/>
  <c r="E10" i="42"/>
  <c r="J9" i="42"/>
  <c r="I9" i="42"/>
  <c r="E9" i="42"/>
  <c r="D36" i="42"/>
  <c r="J8" i="42"/>
  <c r="I8" i="42"/>
  <c r="E8" i="42"/>
  <c r="J7" i="42"/>
  <c r="I7" i="42"/>
  <c r="E7" i="42"/>
  <c r="J6" i="42"/>
  <c r="I6" i="42"/>
  <c r="I18" i="42"/>
  <c r="D12" i="42"/>
  <c r="E12" i="42"/>
  <c r="D38" i="42"/>
  <c r="H42" i="42"/>
  <c r="E6" i="42"/>
  <c r="D34" i="42"/>
  <c r="E5" i="42"/>
  <c r="E4" i="42"/>
  <c r="D33" i="42"/>
  <c r="E3" i="42"/>
  <c r="C55" i="41"/>
  <c r="D54" i="41"/>
  <c r="C54" i="41"/>
  <c r="C53" i="41"/>
  <c r="D52" i="41"/>
  <c r="C52" i="41"/>
  <c r="D51" i="41"/>
  <c r="C51" i="41"/>
  <c r="D50" i="41"/>
  <c r="C50" i="41"/>
  <c r="C49" i="41"/>
  <c r="D48" i="41"/>
  <c r="C48" i="41"/>
  <c r="C47" i="41"/>
  <c r="C46" i="41"/>
  <c r="C45" i="41"/>
  <c r="H44" i="41"/>
  <c r="D44" i="41"/>
  <c r="C44" i="41"/>
  <c r="D43" i="41"/>
  <c r="C43" i="41"/>
  <c r="C42" i="41"/>
  <c r="D41" i="41"/>
  <c r="C41" i="41"/>
  <c r="C40" i="41"/>
  <c r="C39" i="41"/>
  <c r="D38" i="41"/>
  <c r="H42" i="41"/>
  <c r="C38" i="41"/>
  <c r="D37" i="41"/>
  <c r="C37" i="41"/>
  <c r="C36" i="41"/>
  <c r="C35" i="41"/>
  <c r="C34" i="41"/>
  <c r="D33" i="41"/>
  <c r="C33" i="41"/>
  <c r="G30" i="41"/>
  <c r="E30" i="41"/>
  <c r="D55" i="41"/>
  <c r="D29" i="41"/>
  <c r="E29" i="41"/>
  <c r="E28" i="41"/>
  <c r="E27" i="41"/>
  <c r="D53" i="41"/>
  <c r="E26" i="41"/>
  <c r="E25" i="41"/>
  <c r="E24" i="41"/>
  <c r="E22" i="41"/>
  <c r="E21" i="41"/>
  <c r="D47" i="41"/>
  <c r="E20" i="41"/>
  <c r="D46" i="41"/>
  <c r="E19" i="41"/>
  <c r="D45" i="41"/>
  <c r="E18" i="41"/>
  <c r="E17" i="41"/>
  <c r="E16" i="41"/>
  <c r="D42" i="41"/>
  <c r="J15" i="41"/>
  <c r="I15" i="41"/>
  <c r="E15" i="41"/>
  <c r="J14" i="41"/>
  <c r="I14" i="41"/>
  <c r="E14" i="41"/>
  <c r="D40" i="41"/>
  <c r="J13" i="41"/>
  <c r="I13" i="41"/>
  <c r="E13" i="41"/>
  <c r="D39" i="41"/>
  <c r="J12" i="41"/>
  <c r="I12" i="41"/>
  <c r="E12" i="41"/>
  <c r="J11" i="41"/>
  <c r="I11" i="41"/>
  <c r="E11" i="41"/>
  <c r="J10" i="41"/>
  <c r="I10" i="41"/>
  <c r="E10" i="41"/>
  <c r="J9" i="41"/>
  <c r="I9" i="41"/>
  <c r="E9" i="41"/>
  <c r="D36" i="41"/>
  <c r="J8" i="41"/>
  <c r="J16" i="41"/>
  <c r="D23" i="41"/>
  <c r="E23" i="41"/>
  <c r="D49" i="41"/>
  <c r="I8" i="41"/>
  <c r="E8" i="41"/>
  <c r="D35" i="41"/>
  <c r="J7" i="41"/>
  <c r="I7" i="41"/>
  <c r="E7" i="41"/>
  <c r="J6" i="41"/>
  <c r="I6" i="41"/>
  <c r="E6" i="41"/>
  <c r="D34" i="41"/>
  <c r="J5" i="41"/>
  <c r="I5" i="41"/>
  <c r="I16" i="41"/>
  <c r="E5" i="41"/>
  <c r="J4" i="41"/>
  <c r="I4" i="41"/>
  <c r="E4" i="41"/>
  <c r="E3" i="41"/>
  <c r="C58" i="40"/>
  <c r="C57" i="40"/>
  <c r="C56" i="40"/>
  <c r="C55" i="40"/>
  <c r="D54" i="40"/>
  <c r="C54" i="40"/>
  <c r="D53" i="40"/>
  <c r="C53" i="40"/>
  <c r="C51" i="40"/>
  <c r="C50" i="40"/>
  <c r="C49" i="40"/>
  <c r="D48" i="40"/>
  <c r="C48" i="40"/>
  <c r="C46" i="40"/>
  <c r="D45" i="40"/>
  <c r="C45" i="40"/>
  <c r="C44" i="40"/>
  <c r="D43" i="40"/>
  <c r="C43" i="40"/>
  <c r="D42" i="40"/>
  <c r="C42" i="40"/>
  <c r="C41" i="40"/>
  <c r="C40" i="40"/>
  <c r="C39" i="40"/>
  <c r="C38" i="40"/>
  <c r="C37" i="40"/>
  <c r="C36" i="40"/>
  <c r="C35" i="40"/>
  <c r="B35" i="40"/>
  <c r="C34" i="40"/>
  <c r="E31" i="40"/>
  <c r="D58" i="40"/>
  <c r="E30" i="40"/>
  <c r="E29" i="40"/>
  <c r="D57" i="40"/>
  <c r="H45" i="40"/>
  <c r="E28" i="40"/>
  <c r="D56" i="40"/>
  <c r="E27" i="40"/>
  <c r="D55" i="40"/>
  <c r="E26" i="40"/>
  <c r="E25" i="40"/>
  <c r="E24" i="40"/>
  <c r="D52" i="40"/>
  <c r="E22" i="40"/>
  <c r="D50" i="40"/>
  <c r="E21" i="40"/>
  <c r="D49" i="40"/>
  <c r="H44" i="40"/>
  <c r="E20" i="40"/>
  <c r="D47" i="40"/>
  <c r="E19" i="40"/>
  <c r="D46" i="40"/>
  <c r="E18" i="40"/>
  <c r="E17" i="40"/>
  <c r="D44" i="40"/>
  <c r="E16" i="40"/>
  <c r="J15" i="40"/>
  <c r="I15" i="40"/>
  <c r="E15" i="40"/>
  <c r="J14" i="40"/>
  <c r="I14" i="40"/>
  <c r="E14" i="40"/>
  <c r="D41" i="40"/>
  <c r="J13" i="40"/>
  <c r="I13" i="40"/>
  <c r="E13" i="40"/>
  <c r="D40" i="40"/>
  <c r="J12" i="40"/>
  <c r="I12" i="40"/>
  <c r="J11" i="40"/>
  <c r="I11" i="40"/>
  <c r="E11" i="40"/>
  <c r="D38" i="40"/>
  <c r="J10" i="40"/>
  <c r="I10" i="40"/>
  <c r="E10" i="40"/>
  <c r="J9" i="40"/>
  <c r="I9" i="40"/>
  <c r="E9" i="40"/>
  <c r="D37" i="40"/>
  <c r="J8" i="40"/>
  <c r="I8" i="40"/>
  <c r="E8" i="40"/>
  <c r="D36" i="40"/>
  <c r="J7" i="40"/>
  <c r="I7" i="40"/>
  <c r="E7" i="40"/>
  <c r="J6" i="40"/>
  <c r="I6" i="40"/>
  <c r="E6" i="40"/>
  <c r="D35" i="40"/>
  <c r="J5" i="40"/>
  <c r="J16" i="40"/>
  <c r="D23" i="40"/>
  <c r="E23" i="40"/>
  <c r="I5" i="40"/>
  <c r="I16" i="40"/>
  <c r="D12" i="40"/>
  <c r="E12" i="40"/>
  <c r="D39" i="40"/>
  <c r="H43" i="40"/>
  <c r="E5" i="40"/>
  <c r="J4" i="40"/>
  <c r="I4" i="40"/>
  <c r="E4" i="40"/>
  <c r="D34" i="40"/>
  <c r="E3" i="40"/>
  <c r="C56" i="39"/>
  <c r="C55" i="39"/>
  <c r="C54" i="39"/>
  <c r="D53" i="39"/>
  <c r="C53" i="39"/>
  <c r="D52" i="39"/>
  <c r="C52" i="39"/>
  <c r="D51" i="39"/>
  <c r="C51" i="39"/>
  <c r="C50" i="39"/>
  <c r="C49" i="39"/>
  <c r="C48" i="39"/>
  <c r="C47" i="39"/>
  <c r="D45" i="39"/>
  <c r="C45" i="39"/>
  <c r="H44" i="39"/>
  <c r="D44" i="39"/>
  <c r="C44" i="39"/>
  <c r="D43" i="39"/>
  <c r="C43" i="39"/>
  <c r="D42" i="39"/>
  <c r="C42" i="39"/>
  <c r="D41" i="39"/>
  <c r="C41" i="39"/>
  <c r="C40" i="39"/>
  <c r="C39" i="39"/>
  <c r="D38" i="39"/>
  <c r="H42" i="39"/>
  <c r="C38" i="39"/>
  <c r="C37" i="39"/>
  <c r="D36" i="39"/>
  <c r="C36" i="39"/>
  <c r="D35" i="39"/>
  <c r="C35" i="39"/>
  <c r="C34" i="39"/>
  <c r="C33" i="39"/>
  <c r="E30" i="39"/>
  <c r="D56" i="39"/>
  <c r="E29" i="39"/>
  <c r="E28" i="39"/>
  <c r="D55" i="39"/>
  <c r="E27" i="39"/>
  <c r="D54" i="39"/>
  <c r="E26" i="39"/>
  <c r="E25" i="39"/>
  <c r="E24" i="39"/>
  <c r="E22" i="39"/>
  <c r="D49" i="39"/>
  <c r="E21" i="39"/>
  <c r="D48" i="39"/>
  <c r="E20" i="39"/>
  <c r="E19" i="39"/>
  <c r="E18" i="39"/>
  <c r="E17" i="39"/>
  <c r="E16" i="39"/>
  <c r="J15" i="39"/>
  <c r="I15" i="39"/>
  <c r="E15" i="39"/>
  <c r="J14" i="39"/>
  <c r="I14" i="39"/>
  <c r="E14" i="39"/>
  <c r="D40" i="39"/>
  <c r="J13" i="39"/>
  <c r="I13" i="39"/>
  <c r="E13" i="39"/>
  <c r="D39" i="39"/>
  <c r="J12" i="39"/>
  <c r="I12" i="39"/>
  <c r="E12" i="39"/>
  <c r="J11" i="39"/>
  <c r="I11" i="39"/>
  <c r="E11" i="39"/>
  <c r="D37" i="39"/>
  <c r="J10" i="39"/>
  <c r="I10" i="39"/>
  <c r="E10" i="39"/>
  <c r="J9" i="39"/>
  <c r="I9" i="39"/>
  <c r="E9" i="39"/>
  <c r="J8" i="39"/>
  <c r="I8" i="39"/>
  <c r="I16" i="39"/>
  <c r="E8" i="39"/>
  <c r="J7" i="39"/>
  <c r="I7" i="39"/>
  <c r="E7" i="39"/>
  <c r="J6" i="39"/>
  <c r="I6" i="39"/>
  <c r="E6" i="39"/>
  <c r="D34" i="39"/>
  <c r="J5" i="39"/>
  <c r="J16" i="39"/>
  <c r="D23" i="39"/>
  <c r="E23" i="39"/>
  <c r="D50" i="39"/>
  <c r="I5" i="39"/>
  <c r="E5" i="39"/>
  <c r="J4" i="39"/>
  <c r="I4" i="39"/>
  <c r="E4" i="39"/>
  <c r="D33" i="39"/>
  <c r="E3" i="39"/>
  <c r="D56" i="38"/>
  <c r="C56" i="38"/>
  <c r="D55" i="38"/>
  <c r="C54" i="38"/>
  <c r="C53" i="38"/>
  <c r="C52" i="38"/>
  <c r="D51" i="38"/>
  <c r="C51" i="38"/>
  <c r="D50" i="38"/>
  <c r="C50" i="38"/>
  <c r="C49" i="38"/>
  <c r="D48" i="38"/>
  <c r="C48" i="38"/>
  <c r="D47" i="38"/>
  <c r="C47" i="38"/>
  <c r="C46" i="38"/>
  <c r="C45" i="38"/>
  <c r="C44" i="38"/>
  <c r="D43" i="38"/>
  <c r="C43" i="38"/>
  <c r="C42" i="38"/>
  <c r="C41" i="38"/>
  <c r="D40" i="38"/>
  <c r="C40" i="38"/>
  <c r="C39" i="38"/>
  <c r="D38" i="38"/>
  <c r="H42" i="38"/>
  <c r="C38" i="38"/>
  <c r="D37" i="38"/>
  <c r="C37" i="38"/>
  <c r="C36" i="38"/>
  <c r="D35" i="38"/>
  <c r="C35" i="38"/>
  <c r="D34" i="38"/>
  <c r="C34" i="38"/>
  <c r="C33" i="38"/>
  <c r="E30" i="38"/>
  <c r="E29" i="38"/>
  <c r="E28" i="38"/>
  <c r="D54" i="38"/>
  <c r="H44" i="38"/>
  <c r="E27" i="38"/>
  <c r="D53" i="38"/>
  <c r="E26" i="38"/>
  <c r="D52" i="38"/>
  <c r="E25" i="38"/>
  <c r="E24" i="38"/>
  <c r="E22" i="38"/>
  <c r="E21" i="38"/>
  <c r="E20" i="38"/>
  <c r="D46" i="38"/>
  <c r="E19" i="38"/>
  <c r="D45" i="38"/>
  <c r="E18" i="38"/>
  <c r="D44" i="38"/>
  <c r="E17" i="38"/>
  <c r="E16" i="38"/>
  <c r="D42" i="38"/>
  <c r="J15" i="38"/>
  <c r="I15" i="38"/>
  <c r="E15" i="38"/>
  <c r="D41" i="38"/>
  <c r="H43" i="38"/>
  <c r="J14" i="38"/>
  <c r="I14" i="38"/>
  <c r="E14" i="38"/>
  <c r="J13" i="38"/>
  <c r="I13" i="38"/>
  <c r="E13" i="38"/>
  <c r="D39" i="38"/>
  <c r="J12" i="38"/>
  <c r="I12" i="38"/>
  <c r="E12" i="38"/>
  <c r="J11" i="38"/>
  <c r="I11" i="38"/>
  <c r="E11" i="38"/>
  <c r="J10" i="38"/>
  <c r="I10" i="38"/>
  <c r="E10" i="38"/>
  <c r="J9" i="38"/>
  <c r="I9" i="38"/>
  <c r="E9" i="38"/>
  <c r="D36" i="38"/>
  <c r="J8" i="38"/>
  <c r="I8" i="38"/>
  <c r="E8" i="38"/>
  <c r="J7" i="38"/>
  <c r="I7" i="38"/>
  <c r="E7" i="38"/>
  <c r="J6" i="38"/>
  <c r="I6" i="38"/>
  <c r="E6" i="38"/>
  <c r="J5" i="38"/>
  <c r="I5" i="38"/>
  <c r="E5" i="38"/>
  <c r="J4" i="38"/>
  <c r="I4" i="38"/>
  <c r="E4" i="38"/>
  <c r="D33" i="38"/>
  <c r="E3" i="38"/>
  <c r="C55" i="37"/>
  <c r="D54" i="37"/>
  <c r="H44" i="37"/>
  <c r="C54" i="37"/>
  <c r="D53" i="37"/>
  <c r="C53" i="37"/>
  <c r="C52" i="37"/>
  <c r="C51" i="37"/>
  <c r="C50" i="37"/>
  <c r="C49" i="37"/>
  <c r="C48" i="37"/>
  <c r="C47" i="37"/>
  <c r="D46" i="37"/>
  <c r="C46" i="37"/>
  <c r="D45" i="37"/>
  <c r="C45" i="37"/>
  <c r="C44" i="37"/>
  <c r="C43" i="37"/>
  <c r="D42" i="37"/>
  <c r="C42" i="37"/>
  <c r="C41" i="37"/>
  <c r="D40" i="37"/>
  <c r="C40" i="37"/>
  <c r="D39" i="37"/>
  <c r="C39" i="37"/>
  <c r="C38" i="37"/>
  <c r="D37" i="37"/>
  <c r="C37" i="37"/>
  <c r="C36" i="37"/>
  <c r="C35" i="37"/>
  <c r="C34" i="37"/>
  <c r="C33" i="37"/>
  <c r="E30" i="37"/>
  <c r="D55" i="37"/>
  <c r="E29" i="37"/>
  <c r="E28" i="37"/>
  <c r="E27" i="37"/>
  <c r="E26" i="37"/>
  <c r="D52" i="37"/>
  <c r="E25" i="37"/>
  <c r="D51" i="37"/>
  <c r="E24" i="37"/>
  <c r="D50" i="37"/>
  <c r="E22" i="37"/>
  <c r="D48" i="37"/>
  <c r="E21" i="37"/>
  <c r="D47" i="37"/>
  <c r="E20" i="37"/>
  <c r="E19" i="37"/>
  <c r="E18" i="37"/>
  <c r="D44" i="37"/>
  <c r="E17" i="37"/>
  <c r="D43" i="37"/>
  <c r="E16" i="37"/>
  <c r="J15" i="37"/>
  <c r="I15" i="37"/>
  <c r="E15" i="37"/>
  <c r="D41" i="37"/>
  <c r="H43" i="37"/>
  <c r="J14" i="37"/>
  <c r="I14" i="37"/>
  <c r="E14" i="37"/>
  <c r="J13" i="37"/>
  <c r="I13" i="37"/>
  <c r="E13" i="37"/>
  <c r="J12" i="37"/>
  <c r="I12" i="37"/>
  <c r="J11" i="37"/>
  <c r="I11" i="37"/>
  <c r="I16" i="37"/>
  <c r="D12" i="37"/>
  <c r="E12" i="37"/>
  <c r="D38" i="37"/>
  <c r="H42" i="37"/>
  <c r="E11" i="37"/>
  <c r="J10" i="37"/>
  <c r="I10" i="37"/>
  <c r="E10" i="37"/>
  <c r="J9" i="37"/>
  <c r="I9" i="37"/>
  <c r="E9" i="37"/>
  <c r="D36" i="37"/>
  <c r="J8" i="37"/>
  <c r="J16" i="37"/>
  <c r="D23" i="37"/>
  <c r="E23" i="37"/>
  <c r="D49" i="37"/>
  <c r="I8" i="37"/>
  <c r="E8" i="37"/>
  <c r="D35" i="37"/>
  <c r="J7" i="37"/>
  <c r="I7" i="37"/>
  <c r="E7" i="37"/>
  <c r="J6" i="37"/>
  <c r="I6" i="37"/>
  <c r="E6" i="37"/>
  <c r="D34" i="37"/>
  <c r="J5" i="37"/>
  <c r="I5" i="37"/>
  <c r="E5" i="37"/>
  <c r="J4" i="37"/>
  <c r="I4" i="37"/>
  <c r="E4" i="37"/>
  <c r="D33" i="37"/>
  <c r="E3" i="37"/>
  <c r="C56" i="36"/>
  <c r="C55" i="36"/>
  <c r="D54" i="36"/>
  <c r="C54" i="36"/>
  <c r="D53" i="36"/>
  <c r="C53" i="36"/>
  <c r="C52" i="36"/>
  <c r="C51" i="36"/>
  <c r="C50" i="36"/>
  <c r="C49" i="36"/>
  <c r="C48" i="36"/>
  <c r="C47" i="36"/>
  <c r="D46" i="36"/>
  <c r="C46" i="36"/>
  <c r="C45" i="36"/>
  <c r="C44" i="36"/>
  <c r="C43" i="36"/>
  <c r="C41" i="36"/>
  <c r="C40" i="36"/>
  <c r="C39" i="36"/>
  <c r="C38" i="36"/>
  <c r="C37" i="36"/>
  <c r="C36" i="36"/>
  <c r="C35" i="36"/>
  <c r="C34" i="36"/>
  <c r="C33" i="36"/>
  <c r="E30" i="36"/>
  <c r="D56" i="36"/>
  <c r="E29" i="36"/>
  <c r="E28" i="36"/>
  <c r="D55" i="36"/>
  <c r="H44" i="36"/>
  <c r="E27" i="36"/>
  <c r="E26" i="36"/>
  <c r="E25" i="36"/>
  <c r="D52" i="36"/>
  <c r="E24" i="36"/>
  <c r="D51" i="36"/>
  <c r="E22" i="36"/>
  <c r="D49" i="36"/>
  <c r="E21" i="36"/>
  <c r="D48" i="36"/>
  <c r="E20" i="36"/>
  <c r="D47" i="36"/>
  <c r="E19" i="36"/>
  <c r="E18" i="36"/>
  <c r="D45" i="36"/>
  <c r="E17" i="36"/>
  <c r="D44" i="36"/>
  <c r="E16" i="36"/>
  <c r="D42" i="36"/>
  <c r="J15" i="36"/>
  <c r="I15" i="36"/>
  <c r="E15" i="36"/>
  <c r="D41" i="36"/>
  <c r="H43" i="36"/>
  <c r="J14" i="36"/>
  <c r="I14" i="36"/>
  <c r="E14" i="36"/>
  <c r="D40" i="36"/>
  <c r="J13" i="36"/>
  <c r="I13" i="36"/>
  <c r="E13" i="36"/>
  <c r="D39" i="36"/>
  <c r="J12" i="36"/>
  <c r="I12" i="36"/>
  <c r="J11" i="36"/>
  <c r="I11" i="36"/>
  <c r="E11" i="36"/>
  <c r="D37" i="36"/>
  <c r="J10" i="36"/>
  <c r="I10" i="36"/>
  <c r="E10" i="36"/>
  <c r="J9" i="36"/>
  <c r="I9" i="36"/>
  <c r="E9" i="36"/>
  <c r="D36" i="36"/>
  <c r="J8" i="36"/>
  <c r="I8" i="36"/>
  <c r="E8" i="36"/>
  <c r="D35" i="36"/>
  <c r="J7" i="36"/>
  <c r="I7" i="36"/>
  <c r="E7" i="36"/>
  <c r="J6" i="36"/>
  <c r="I6" i="36"/>
  <c r="E6" i="36"/>
  <c r="D34" i="36"/>
  <c r="J5" i="36"/>
  <c r="J16" i="36"/>
  <c r="D23" i="36"/>
  <c r="E23" i="36"/>
  <c r="D50" i="36"/>
  <c r="I5" i="36"/>
  <c r="I16" i="36"/>
  <c r="D12" i="36"/>
  <c r="E12" i="36"/>
  <c r="D38" i="36"/>
  <c r="H42" i="36"/>
  <c r="E5" i="36"/>
  <c r="J4" i="36"/>
  <c r="I4" i="36"/>
  <c r="E4" i="36"/>
  <c r="D33" i="36"/>
  <c r="E3" i="36"/>
  <c r="D55" i="35"/>
  <c r="C55" i="35"/>
  <c r="C54" i="35"/>
  <c r="C53" i="35"/>
  <c r="C52" i="35"/>
  <c r="C51" i="35"/>
  <c r="C50" i="35"/>
  <c r="C49" i="35"/>
  <c r="D48" i="35"/>
  <c r="C48" i="35"/>
  <c r="D47" i="35"/>
  <c r="C47" i="35"/>
  <c r="C46" i="35"/>
  <c r="C45" i="35"/>
  <c r="C44" i="35"/>
  <c r="C43" i="35"/>
  <c r="D42" i="35"/>
  <c r="C42" i="35"/>
  <c r="C41" i="35"/>
  <c r="D40" i="35"/>
  <c r="C40" i="35"/>
  <c r="D39" i="35"/>
  <c r="C39" i="35"/>
  <c r="C38" i="35"/>
  <c r="D37" i="35"/>
  <c r="C37" i="35"/>
  <c r="D36" i="35"/>
  <c r="D35" i="35"/>
  <c r="D34" i="35"/>
  <c r="C34" i="35"/>
  <c r="C33" i="35"/>
  <c r="E30" i="35"/>
  <c r="E29" i="35"/>
  <c r="E28" i="35"/>
  <c r="D54" i="35"/>
  <c r="H44" i="35"/>
  <c r="E27" i="35"/>
  <c r="D53" i="35"/>
  <c r="E26" i="35"/>
  <c r="D52" i="35"/>
  <c r="E25" i="35"/>
  <c r="D51" i="35"/>
  <c r="E24" i="35"/>
  <c r="D50" i="35"/>
  <c r="E22" i="35"/>
  <c r="E21" i="35"/>
  <c r="E20" i="35"/>
  <c r="D46" i="35"/>
  <c r="E19" i="35"/>
  <c r="D45" i="35"/>
  <c r="E18" i="35"/>
  <c r="D44" i="35"/>
  <c r="E17" i="35"/>
  <c r="D43" i="35"/>
  <c r="E16" i="35"/>
  <c r="J15" i="35"/>
  <c r="I15" i="35"/>
  <c r="E15" i="35"/>
  <c r="D41" i="35"/>
  <c r="J14" i="35"/>
  <c r="I14" i="35"/>
  <c r="E14" i="35"/>
  <c r="J13" i="35"/>
  <c r="I13" i="35"/>
  <c r="E13" i="35"/>
  <c r="J12" i="35"/>
  <c r="I12" i="35"/>
  <c r="J11" i="35"/>
  <c r="I11" i="35"/>
  <c r="E11" i="35"/>
  <c r="J10" i="35"/>
  <c r="I10" i="35"/>
  <c r="E10" i="35"/>
  <c r="J9" i="35"/>
  <c r="I9" i="35"/>
  <c r="E9" i="35"/>
  <c r="J8" i="35"/>
  <c r="I8" i="35"/>
  <c r="E8" i="35"/>
  <c r="J7" i="35"/>
  <c r="I7" i="35"/>
  <c r="E7" i="35"/>
  <c r="J6" i="35"/>
  <c r="I6" i="35"/>
  <c r="E6" i="35"/>
  <c r="J5" i="35"/>
  <c r="I5" i="35"/>
  <c r="E5" i="35"/>
  <c r="J4" i="35"/>
  <c r="J16" i="35"/>
  <c r="D23" i="35"/>
  <c r="E23" i="35"/>
  <c r="D49" i="35"/>
  <c r="I4" i="35"/>
  <c r="I16" i="35"/>
  <c r="D12" i="35"/>
  <c r="E12" i="35"/>
  <c r="D38" i="35"/>
  <c r="H42" i="35"/>
  <c r="E4" i="35"/>
  <c r="D33" i="35"/>
  <c r="E3" i="35"/>
  <c r="C55" i="34"/>
  <c r="D54" i="34"/>
  <c r="H44" i="34"/>
  <c r="C54" i="34"/>
  <c r="D53" i="34"/>
  <c r="C53" i="34"/>
  <c r="C52" i="34"/>
  <c r="C51" i="34"/>
  <c r="C50" i="34"/>
  <c r="C49" i="34"/>
  <c r="C48" i="34"/>
  <c r="C47" i="34"/>
  <c r="D46" i="34"/>
  <c r="C46" i="34"/>
  <c r="D45" i="34"/>
  <c r="C45" i="34"/>
  <c r="C44" i="34"/>
  <c r="C43" i="34"/>
  <c r="D42" i="34"/>
  <c r="C42" i="34"/>
  <c r="C41" i="34"/>
  <c r="C40" i="34"/>
  <c r="D39" i="34"/>
  <c r="C39" i="34"/>
  <c r="C38" i="34"/>
  <c r="D37" i="34"/>
  <c r="C37" i="34"/>
  <c r="C36" i="34"/>
  <c r="D35" i="34"/>
  <c r="C35" i="34"/>
  <c r="D34" i="34"/>
  <c r="C34" i="34"/>
  <c r="C33" i="34"/>
  <c r="E30" i="34"/>
  <c r="D55" i="34"/>
  <c r="E29" i="34"/>
  <c r="E28" i="34"/>
  <c r="E27" i="34"/>
  <c r="E26" i="34"/>
  <c r="D52" i="34"/>
  <c r="E25" i="34"/>
  <c r="D51" i="34"/>
  <c r="E24" i="34"/>
  <c r="D50" i="34"/>
  <c r="E22" i="34"/>
  <c r="D48" i="34"/>
  <c r="E21" i="34"/>
  <c r="D47" i="34"/>
  <c r="E20" i="34"/>
  <c r="E19" i="34"/>
  <c r="E18" i="34"/>
  <c r="D44" i="34"/>
  <c r="E17" i="34"/>
  <c r="D43" i="34"/>
  <c r="E16" i="34"/>
  <c r="J15" i="34"/>
  <c r="I15" i="34"/>
  <c r="E15" i="34"/>
  <c r="D41" i="34"/>
  <c r="J14" i="34"/>
  <c r="I14" i="34"/>
  <c r="E14" i="34"/>
  <c r="D40" i="34"/>
  <c r="J13" i="34"/>
  <c r="I13" i="34"/>
  <c r="E13" i="34"/>
  <c r="J12" i="34"/>
  <c r="I12" i="34"/>
  <c r="J11" i="34"/>
  <c r="I11" i="34"/>
  <c r="E11" i="34"/>
  <c r="J10" i="34"/>
  <c r="I10" i="34"/>
  <c r="J9" i="34"/>
  <c r="I9" i="34"/>
  <c r="E9" i="34"/>
  <c r="D36" i="34"/>
  <c r="J8" i="34"/>
  <c r="I8" i="34"/>
  <c r="E8" i="34"/>
  <c r="J7" i="34"/>
  <c r="I7" i="34"/>
  <c r="E7" i="34"/>
  <c r="J6" i="34"/>
  <c r="J16" i="34"/>
  <c r="D23" i="34"/>
  <c r="E23" i="34"/>
  <c r="D49" i="34"/>
  <c r="I6" i="34"/>
  <c r="I16" i="34"/>
  <c r="D12" i="34"/>
  <c r="E6" i="34"/>
  <c r="J5" i="34"/>
  <c r="I5" i="34"/>
  <c r="E5" i="34"/>
  <c r="J4" i="34"/>
  <c r="I4" i="34"/>
  <c r="E4" i="34"/>
  <c r="D33" i="34"/>
  <c r="E3" i="34"/>
  <c r="D57" i="43"/>
  <c r="H37" i="43"/>
  <c r="H38" i="43"/>
  <c r="D57" i="46"/>
  <c r="H37" i="46"/>
  <c r="D56" i="37"/>
  <c r="H37" i="37"/>
  <c r="D10" i="34"/>
  <c r="E10" i="34"/>
  <c r="E12" i="34"/>
  <c r="D38" i="34"/>
  <c r="H36" i="44"/>
  <c r="H36" i="40"/>
  <c r="H43" i="34"/>
  <c r="H35" i="34"/>
  <c r="H36" i="35"/>
  <c r="D56" i="35"/>
  <c r="H37" i="35"/>
  <c r="H43" i="35"/>
  <c r="D59" i="40"/>
  <c r="H38" i="40"/>
  <c r="H35" i="36"/>
  <c r="D57" i="36"/>
  <c r="H37" i="36"/>
  <c r="H36" i="37"/>
  <c r="D56" i="41"/>
  <c r="H37" i="41"/>
  <c r="H35" i="41"/>
  <c r="H35" i="38"/>
  <c r="H35" i="35"/>
  <c r="H36" i="36"/>
  <c r="H43" i="41"/>
  <c r="H35" i="44"/>
  <c r="D43" i="55"/>
  <c r="D42" i="55"/>
  <c r="H36" i="39"/>
  <c r="H43" i="46"/>
  <c r="F21" i="54"/>
  <c r="F25" i="54"/>
  <c r="F24" i="54"/>
  <c r="N25" i="54"/>
  <c r="N26" i="54"/>
  <c r="N24" i="54"/>
  <c r="H43" i="56"/>
  <c r="D43" i="36"/>
  <c r="H43" i="44"/>
  <c r="D56" i="47"/>
  <c r="H37" i="47"/>
  <c r="P25" i="54"/>
  <c r="P26" i="54"/>
  <c r="P24" i="54"/>
  <c r="H43" i="55"/>
  <c r="R16" i="59"/>
  <c r="I16" i="38"/>
  <c r="H36" i="41"/>
  <c r="J18" i="42"/>
  <c r="D23" i="42"/>
  <c r="E23" i="42"/>
  <c r="D49" i="42"/>
  <c r="H36" i="42"/>
  <c r="D56" i="44"/>
  <c r="J19" i="46"/>
  <c r="H43" i="47"/>
  <c r="I16" i="48"/>
  <c r="D12" i="48"/>
  <c r="E12" i="48"/>
  <c r="D39" i="48"/>
  <c r="H43" i="48"/>
  <c r="H44" i="48"/>
  <c r="J16" i="49"/>
  <c r="D23" i="49"/>
  <c r="E23" i="49"/>
  <c r="D51" i="49"/>
  <c r="H43" i="39"/>
  <c r="D57" i="45"/>
  <c r="H37" i="45"/>
  <c r="D54" i="52"/>
  <c r="D53" i="52"/>
  <c r="H35" i="37"/>
  <c r="H36" i="34"/>
  <c r="H36" i="43"/>
  <c r="H36" i="46"/>
  <c r="H25" i="54"/>
  <c r="H26" i="54"/>
  <c r="H24" i="54"/>
  <c r="J16" i="38"/>
  <c r="D23" i="38"/>
  <c r="E23" i="38"/>
  <c r="D49" i="38"/>
  <c r="H36" i="38"/>
  <c r="D47" i="39"/>
  <c r="D46" i="39"/>
  <c r="H35" i="39"/>
  <c r="D51" i="40"/>
  <c r="H43" i="42"/>
  <c r="I17" i="53"/>
  <c r="D12" i="53"/>
  <c r="D43" i="56"/>
  <c r="D42" i="56"/>
  <c r="H44" i="58"/>
  <c r="H35" i="42"/>
  <c r="H36" i="59"/>
  <c r="H35" i="59"/>
  <c r="J17" i="45"/>
  <c r="D63" i="48"/>
  <c r="H38" i="48"/>
  <c r="D58" i="50"/>
  <c r="H37" i="50"/>
  <c r="H38" i="50"/>
  <c r="H36" i="51"/>
  <c r="H35" i="51"/>
  <c r="H35" i="53"/>
  <c r="H43" i="43"/>
  <c r="F26" i="54"/>
  <c r="J16" i="48"/>
  <c r="D23" i="48"/>
  <c r="E23" i="48"/>
  <c r="D53" i="48"/>
  <c r="I19" i="46"/>
  <c r="D56" i="59"/>
  <c r="H37" i="59"/>
  <c r="H35" i="45"/>
  <c r="H35" i="46"/>
  <c r="H36" i="49"/>
  <c r="D56" i="51"/>
  <c r="H37" i="51"/>
  <c r="I31" i="57"/>
  <c r="I24" i="57"/>
  <c r="H37" i="48"/>
  <c r="I17" i="52"/>
  <c r="D12" i="52"/>
  <c r="D42" i="52"/>
  <c r="H35" i="52"/>
  <c r="F22" i="54"/>
  <c r="I17" i="55"/>
  <c r="D12" i="55"/>
  <c r="H35" i="55"/>
  <c r="J31" i="57"/>
  <c r="H35" i="58"/>
  <c r="H35" i="47"/>
  <c r="H36" i="47"/>
  <c r="J17" i="52"/>
  <c r="D23" i="52"/>
  <c r="E23" i="52"/>
  <c r="D50" i="52"/>
  <c r="L26" i="54"/>
  <c r="L24" i="54"/>
  <c r="L25" i="54"/>
  <c r="J17" i="55"/>
  <c r="D23" i="55"/>
  <c r="E23" i="55"/>
  <c r="D50" i="55"/>
  <c r="K31" i="57"/>
  <c r="K24" i="57"/>
  <c r="I17" i="58"/>
  <c r="D12" i="58"/>
  <c r="J17" i="50"/>
  <c r="D23" i="50"/>
  <c r="E23" i="50"/>
  <c r="D50" i="50"/>
  <c r="H36" i="50"/>
  <c r="D54" i="56"/>
  <c r="D53" i="56"/>
  <c r="D54" i="58"/>
  <c r="D53" i="58"/>
  <c r="H43" i="58"/>
  <c r="H44" i="59"/>
  <c r="D61" i="48"/>
  <c r="H36" i="48"/>
  <c r="K24" i="54"/>
  <c r="I17" i="56"/>
  <c r="D12" i="56"/>
  <c r="D27" i="57"/>
  <c r="D43" i="58"/>
  <c r="D42" i="58"/>
  <c r="J24" i="57"/>
  <c r="H37" i="49"/>
  <c r="D59" i="49"/>
  <c r="H38" i="49"/>
  <c r="H39" i="48"/>
  <c r="E12" i="52"/>
  <c r="D38" i="52"/>
  <c r="D10" i="52"/>
  <c r="E10" i="52"/>
  <c r="E12" i="58"/>
  <c r="D38" i="58"/>
  <c r="D10" i="58"/>
  <c r="E10" i="58"/>
  <c r="H38" i="46"/>
  <c r="H38" i="37"/>
  <c r="H38" i="45"/>
  <c r="H38" i="36"/>
  <c r="H42" i="34"/>
  <c r="H38" i="59"/>
  <c r="E12" i="55"/>
  <c r="D38" i="55"/>
  <c r="D10" i="55"/>
  <c r="E10" i="55"/>
  <c r="H38" i="35"/>
  <c r="H38" i="47"/>
  <c r="H35" i="56"/>
  <c r="D10" i="53"/>
  <c r="E10" i="53"/>
  <c r="E12" i="53"/>
  <c r="D38" i="53"/>
  <c r="D57" i="42"/>
  <c r="H37" i="42"/>
  <c r="H38" i="42"/>
  <c r="H38" i="38"/>
  <c r="D57" i="39"/>
  <c r="H37" i="39"/>
  <c r="H38" i="39"/>
  <c r="D56" i="34"/>
  <c r="H37" i="34"/>
  <c r="H38" i="34"/>
  <c r="D57" i="38"/>
  <c r="H37" i="38"/>
  <c r="H39" i="49"/>
  <c r="H37" i="40"/>
  <c r="E12" i="56"/>
  <c r="D38" i="56"/>
  <c r="D10" i="56"/>
  <c r="E10" i="56"/>
  <c r="D26" i="57"/>
  <c r="H38" i="51"/>
  <c r="H37" i="44"/>
  <c r="H38" i="44"/>
  <c r="I36" i="44"/>
  <c r="H38" i="41"/>
  <c r="H39" i="40"/>
  <c r="H42" i="58"/>
  <c r="D58" i="58"/>
  <c r="H37" i="58"/>
  <c r="H38" i="58"/>
  <c r="H36" i="58"/>
  <c r="H42" i="53"/>
  <c r="D58" i="53"/>
  <c r="H37" i="53"/>
  <c r="H38" i="53"/>
  <c r="H36" i="53"/>
  <c r="H42" i="55"/>
  <c r="D58" i="55"/>
  <c r="H37" i="55"/>
  <c r="H38" i="55"/>
  <c r="H36" i="55"/>
  <c r="H42" i="56"/>
  <c r="H36" i="56"/>
  <c r="D58" i="56"/>
  <c r="H37" i="56"/>
  <c r="H42" i="52"/>
  <c r="H36" i="52"/>
  <c r="D58" i="52"/>
  <c r="H37" i="52"/>
  <c r="H38" i="52"/>
  <c r="D33" i="57"/>
  <c r="H38" i="56"/>
  <c r="D113" i="64" l="1"/>
  <c r="D116" i="64" s="1"/>
  <c r="I18" i="64"/>
  <c r="I106" i="64" s="1"/>
  <c r="I110" i="64" s="1"/>
  <c r="E114" i="64"/>
  <c r="F108" i="64"/>
  <c r="B113" i="64"/>
  <c r="B115" i="64"/>
  <c r="C113" i="64"/>
  <c r="C115" i="64"/>
  <c r="H103" i="64"/>
  <c r="C114" i="64"/>
  <c r="H105" i="64"/>
  <c r="B112" i="64"/>
  <c r="C112" i="64" l="1"/>
  <c r="I103" i="64"/>
  <c r="B116" i="64"/>
  <c r="C116" i="6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tc={18FF6136-0898-4ED8-A844-99C363AAB9E7}</author>
    <author>tc={EF16B7A8-43DE-4D2C-ABB1-C796185036B3}</author>
    <author>tc={88A2D9F7-B8A1-46BF-B87C-47648A3D9818}</author>
  </authors>
  <commentList>
    <comment ref="D33" authorId="0" shapeId="0" xr:uid="{18FF6136-0898-4ED8-A844-99C363AAB9E7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2" authorId="1" shapeId="0" xr:uid="{EF16B7A8-43DE-4D2C-ABB1-C796185036B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5" authorId="2" shapeId="0" xr:uid="{88A2D9F7-B8A1-46BF-B87C-47648A3D9818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tc={3576E76F-6619-497A-A228-B5343724287A}</author>
    <author>tc={21FD1D32-1D40-4AA3-935D-F55267E8F65D}</author>
    <author>tc={C946661F-9D3C-49FF-BEA6-E8F7CED50389}</author>
    <author>tc={1DE07B44-1271-4F02-BFBB-5E034D4AD0BB}</author>
  </authors>
  <commentList>
    <comment ref="D33" authorId="0" shapeId="0" xr:uid="{3576E76F-6619-497A-A228-B5343724287A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D42" authorId="1" shapeId="0" xr:uid="{21FD1D32-1D40-4AA3-935D-F55267E8F65D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is reused onsite for land levelling and remaining is sent to dumping ground</t>
      </text>
    </comment>
    <comment ref="H42" authorId="2" shapeId="0" xr:uid="{C946661F-9D3C-49FF-BEA6-E8F7CED5038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6" authorId="3" shapeId="0" xr:uid="{1DE07B44-1271-4F02-BFBB-5E034D4AD0BB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tc={BBC26990-2B27-41A7-9B5D-8E45A919C64B}</author>
    <author>tc={D20A72DC-49BB-45F8-AB57-7F4694EF09BC}</author>
    <author>tc={F96BB74B-73F8-42D1-8CC0-1BC750390900}</author>
  </authors>
  <commentList>
    <comment ref="D33" authorId="0" shapeId="0" xr:uid="{BBC26990-2B27-41A7-9B5D-8E45A919C64B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2" authorId="1" shapeId="0" xr:uid="{D20A72DC-49BB-45F8-AB57-7F4694EF09B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5" authorId="2" shapeId="0" xr:uid="{F96BB74B-73F8-42D1-8CC0-1BC750390900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tc={729195EA-39BB-4C33-B9B5-D65912271170}</author>
    <author>tc={0EBD78BC-2025-47C1-BBE0-4787BB7D4205}</author>
    <author>tc={D1F17D43-5978-434C-8D60-D81358D2EAF0}</author>
    <author>tc={D6CD8D74-C54F-4894-A2B5-BCA2C47CC43D}</author>
  </authors>
  <commentList>
    <comment ref="D33" authorId="0" shapeId="0" xr:uid="{729195EA-39BB-4C33-B9B5-D65912271170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D42" authorId="1" shapeId="0" xr:uid="{0EBD78BC-2025-47C1-BBE0-4787BB7D4205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is landfilled and 50% is reused onsite for land levelling</t>
      </text>
    </comment>
    <comment ref="H42" authorId="2" shapeId="0" xr:uid="{D1F17D43-5978-434C-8D60-D81358D2EAF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6" authorId="3" shapeId="0" xr:uid="{D6CD8D74-C54F-4894-A2B5-BCA2C47CC43D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tc={6C34258C-2D6F-4B1C-B269-14F9C0C0FD4C}</author>
    <author>tc={038957A2-9446-4CD7-B7D6-B78FE6007B3A}</author>
  </authors>
  <commentList>
    <comment ref="D33" authorId="0" shapeId="0" xr:uid="{6C34258C-2D6F-4B1C-B269-14F9C0C0FD4C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2" authorId="1" shapeId="0" xr:uid="{038957A2-9446-4CD7-B7D6-B78FE6007B3A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tc={FDEE2163-257B-47DE-89FD-0C9735E5BF14}</author>
    <author>tc={04228DDA-CE0C-4F7C-8162-2227E2AF42C5}</author>
    <author>tc={10021D9F-2BAF-4706-B170-A6AF0A85EABD}</author>
  </authors>
  <commentList>
    <comment ref="D33" authorId="0" shapeId="0" xr:uid="{FDEE2163-257B-47DE-89FD-0C9735E5BF14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2" authorId="1" shapeId="0" xr:uid="{04228DDA-CE0C-4F7C-8162-2227E2AF42C5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30% as food waste of the bio-degradable waste</t>
      </text>
    </comment>
    <comment ref="D55" authorId="2" shapeId="0" xr:uid="{10021D9F-2BAF-4706-B170-A6AF0A85EABD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tc={CA1F5936-1A5D-47CF-87EB-1E80E5B1321F}</author>
    <author>tc={D25DFD0F-36D3-4DE6-B685-AF6C15740937}</author>
    <author>tc={D0E9211B-B9E3-4DF2-B48F-5ED0B440E0DB}</author>
    <author>tc={55400CEF-1D2A-43A4-8CA0-4D0121548FD5}</author>
    <author>tc={0D61F481-9E88-4A53-A787-C5D525ED7CD5}</author>
    <author>tc={2BBC1119-1607-479F-8F2F-49BB222CC940}</author>
    <author>tc={A441B8CE-723F-4227-A280-476D6D6C48FC}</author>
  </authors>
  <commentList>
    <comment ref="D34" authorId="0" shapeId="0" xr:uid="{CA1F5936-1A5D-47CF-87EB-1E80E5B1321F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3" authorId="1" shapeId="0" xr:uid="{D25DFD0F-36D3-4DE6-B685-AF6C15740937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44" authorId="2" shapeId="0" xr:uid="{D0E9211B-B9E3-4DF2-B48F-5ED0B440E0DB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reused on site for land levelling and 50% sent to landfill</t>
      </text>
    </comment>
    <comment ref="D49" authorId="3" shapeId="0" xr:uid="{55400CEF-1D2A-43A4-8CA0-4D0121548FD5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reused on site for land levelling and 50% landfilled</t>
      </text>
    </comment>
    <comment ref="D57" authorId="4" shapeId="0" xr:uid="{0D61F481-9E88-4A53-A787-C5D525ED7CD5}">
      <text>
        <t>[Threaded comment]
Your version of Excel allows you to read this threaded comment; however, any edits to it will get removed if the file is opened in a newer version of Excel. Learn more: https://go.microsoft.com/fwlink/?linkid=870924
Comment:
    70% reused on site for land levelling and 30% sent to landfill</t>
      </text>
    </comment>
    <comment ref="D61" authorId="5" shapeId="0" xr:uid="{2BBC1119-1607-479F-8F2F-49BB222CC940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
50% reused on site for land levelling and 50% sent to landfill</t>
      </text>
    </comment>
    <comment ref="D62" authorId="6" shapeId="0" xr:uid="{A441B8CE-723F-4227-A280-476D6D6C48FC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tc={016C2AEB-B738-44BB-92D0-FA999D57D1D5}</author>
    <author>tc={2AECCBD3-BE78-491F-966D-F507132328B0}</author>
    <author>tc={5D0614F8-0081-4E96-8816-4A10C7B9E6E2}</author>
    <author>tc={85AFF72A-7AE1-4E80-9C3D-191EB0EC3CEB}</author>
  </authors>
  <commentList>
    <comment ref="D34" authorId="0" shapeId="0" xr:uid="{016C2AEB-B738-44BB-92D0-FA999D57D1D5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3" authorId="1" shapeId="0" xr:uid="{2AECCBD3-BE78-491F-966D-F507132328B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47" authorId="2" shapeId="0" xr:uid="{5D0614F8-0081-4E96-8816-4A10C7B9E6E2}">
      <text>
        <t>[Threaded comment]
Your version of Excel allows you to read this threaded comment; however, any edits to it will get removed if the file is opened in a newer version of Excel. Learn more: https://go.microsoft.com/fwlink/?linkid=870924
Comment:
    90% debris sent to MCGM authorized sites for land levelling</t>
      </text>
    </comment>
    <comment ref="D58" authorId="3" shapeId="0" xr:uid="{85AFF72A-7AE1-4E80-9C3D-191EB0EC3CEB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tc={308BFA98-5389-49F7-A542-00CD1D7E939D}</author>
    <author>tc={77150537-8DA1-4890-A2C8-FA16F97A874B}</author>
    <author>tc={C9A3420A-D09E-46C3-985C-BB200661F22A}</author>
    <author>tc={7483BA42-B7EB-4255-ACED-F0E2638E7515}</author>
    <author>tc={D93855F3-DE1E-42AC-A52E-BBB714FAA988}</author>
  </authors>
  <commentList>
    <comment ref="D33" authorId="0" shapeId="0" xr:uid="{308BFA98-5389-49F7-A542-00CD1D7E939D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D42" authorId="1" shapeId="0" xr:uid="{77150537-8DA1-4890-A2C8-FA16F97A874B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landfilled and 50% reused on site for land levelling</t>
      </text>
    </comment>
    <comment ref="H42" authorId="2" shapeId="0" xr:uid="{C9A3420A-D09E-46C3-985C-BB200661F22A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4" authorId="3" shapeId="0" xr:uid="{7483BA42-B7EB-4255-ACED-F0E2638E7515}">
      <text>
        <t>[Threaded comment]
Your version of Excel allows you to read this threaded comment; however, any edits to it will get removed if the file is opened in a newer version of Excel. Learn more: https://go.microsoft.com/fwlink/?linkid=870924
Comment:
    70% scrap tiles reused within the site and 30% sent to landfill</t>
      </text>
    </comment>
    <comment ref="D57" authorId="4" shapeId="0" xr:uid="{D93855F3-DE1E-42AC-A52E-BBB714FAA988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tc={B9320507-B196-4BF2-8C03-FF3DA5CD951E}</author>
    <author>tc={40E20931-8880-4016-9589-5C31E23A58B7}</author>
    <author>tc={3F2D5C20-0B5B-4B3A-9B76-997538126659}</author>
  </authors>
  <commentList>
    <comment ref="D33" authorId="0" shapeId="0" xr:uid="{B9320507-B196-4BF2-8C03-FF3DA5CD951E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2" authorId="1" shapeId="0" xr:uid="{40E20931-8880-4016-9589-5C31E23A58B7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30% as food waste of the bio-degradable waste</t>
      </text>
    </comment>
    <comment ref="D55" authorId="2" shapeId="0" xr:uid="{3F2D5C20-0B5B-4B3A-9B76-997538126659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tc={B7B736D1-E613-48D6-97F4-0C146B9FB888}</author>
    <author>tc={019696AB-3737-42BB-9010-E5EC0CA0AF31}</author>
    <author>tc={6CFD04EB-9AA4-4767-8B04-A6B344489D00}</author>
    <author>tc={7024357E-1FED-404B-ABA8-D1A419A94224}</author>
    <author>tc={A10CE494-D802-4201-A878-FF8A4C9A9C43}</author>
  </authors>
  <commentList>
    <comment ref="D33" authorId="0" shapeId="0" xr:uid="{B7B736D1-E613-48D6-97F4-0C146B9FB888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D42" authorId="1" shapeId="0" xr:uid="{019696AB-3737-42BB-9010-E5EC0CA0AF31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landfilled and 50% reused on site for land levelling</t>
      </text>
    </comment>
    <comment ref="H42" authorId="2" shapeId="0" xr:uid="{6CFD04EB-9AA4-4767-8B04-A6B344489D0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4" authorId="3" shapeId="0" xr:uid="{7024357E-1FED-404B-ABA8-D1A419A94224}">
      <text>
        <t>[Threaded comment]
Your version of Excel allows you to read this threaded comment; however, any edits to it will get removed if the file is opened in a newer version of Excel. Learn more: https://go.microsoft.com/fwlink/?linkid=870924
Comment:
    70% scrap tiles reused within the site and 30% sent to landfill</t>
      </text>
    </comment>
    <comment ref="D57" authorId="4" shapeId="0" xr:uid="{A10CE494-D802-4201-A878-FF8A4C9A9C43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tc={95AD7DBD-3354-4FB9-A938-696C4475DDA7}</author>
    <author>tc={696E6BA9-D37F-4A1F-958F-1F4D68ADC4EB}</author>
    <author>tc={169BECB5-7E6A-47DE-A129-FFF688986C06}</author>
  </authors>
  <commentList>
    <comment ref="D33" authorId="0" shapeId="0" xr:uid="{95AD7DBD-3354-4FB9-A938-696C4475DDA7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2" authorId="1" shapeId="0" xr:uid="{696E6BA9-D37F-4A1F-958F-1F4D68ADC4E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5" authorId="2" shapeId="0" xr:uid="{169BECB5-7E6A-47DE-A129-FFF688986C06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tc={DBE03280-EBAA-45C0-B753-B029FCAAD412}</author>
    <author>tc={57FAF4A1-2506-40FB-B777-22FB74DB4E82}</author>
    <author>tc={CC3A58B7-75CF-42D3-8E38-02E19C2A65C6}</author>
    <author>tc={A874A149-1941-4B1E-BCD6-6C99D8F990E8}</author>
    <author>tc={C9B5A199-19AD-4700-9573-3BB0B804401E}</author>
  </authors>
  <commentList>
    <comment ref="D33" authorId="0" shapeId="0" xr:uid="{DBE03280-EBAA-45C0-B753-B029FCAAD412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D42" authorId="1" shapeId="0" xr:uid="{57FAF4A1-2506-40FB-B777-22FB74DB4E82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landfilled and 50% reused on site for land levelling</t>
      </text>
    </comment>
    <comment ref="H42" authorId="2" shapeId="0" xr:uid="{CC3A58B7-75CF-42D3-8E38-02E19C2A65C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4" authorId="3" shapeId="0" xr:uid="{A874A149-1941-4B1E-BCD6-6C99D8F990E8}">
      <text>
        <t>[Threaded comment]
Your version of Excel allows you to read this threaded comment; however, any edits to it will get removed if the file is opened in a newer version of Excel. Learn more: https://go.microsoft.com/fwlink/?linkid=870924
Comment:
    70% scrap tiles reused within the site and 30% sent to landfill</t>
      </text>
    </comment>
    <comment ref="D57" authorId="4" shapeId="0" xr:uid="{C9B5A199-19AD-4700-9573-3BB0B804401E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tc={5986F710-E907-413B-8796-51679A8D3E47}</author>
    <author>tc={10C91A86-BC85-4761-95D1-E848E033CA48}</author>
    <author>tc={4650870B-B87E-445B-8902-4076B1AF1A19}</author>
    <author>tc={C397CAE7-E929-40AD-B78B-CBA22523A49A}</author>
    <author>tc={F9178AFF-D7F7-4043-A0BE-2FD850B007FF}</author>
  </authors>
  <commentList>
    <comment ref="D33" authorId="0" shapeId="0" xr:uid="{5986F710-E907-413B-8796-51679A8D3E47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D42" authorId="1" shapeId="0" xr:uid="{10C91A86-BC85-4761-95D1-E848E033CA48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landfilled and 50% reused on site for land levelling</t>
      </text>
    </comment>
    <comment ref="H42" authorId="2" shapeId="0" xr:uid="{4650870B-B87E-445B-8902-4076B1AF1A1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4" authorId="3" shapeId="0" xr:uid="{C397CAE7-E929-40AD-B78B-CBA22523A49A}">
      <text>
        <t>[Threaded comment]
Your version of Excel allows you to read this threaded comment; however, any edits to it will get removed if the file is opened in a newer version of Excel. Learn more: https://go.microsoft.com/fwlink/?linkid=870924
Comment:
    70% scrap tiles reused within the site and 30% sent to landfill</t>
      </text>
    </comment>
    <comment ref="D57" authorId="4" shapeId="0" xr:uid="{F9178AFF-D7F7-4043-A0BE-2FD850B007FF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tc={64CD9A27-27E8-4694-8942-A239B82BA76D}</author>
    <author>tc={D023B311-FEDC-4609-9419-4664E7A3BCF0}</author>
    <author>tc={4AB1C1EA-5DF1-4B0C-9EC4-FC4F867371FE}</author>
    <author>tc={B1B77380-7CA1-4B25-884F-F7388A0379BC}</author>
    <author>tc={DBE6E7F9-7BE9-4685-9918-CA2496BC78C5}</author>
  </authors>
  <commentList>
    <comment ref="D33" authorId="0" shapeId="0" xr:uid="{64CD9A27-27E8-4694-8942-A239B82BA76D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D42" authorId="1" shapeId="0" xr:uid="{D023B311-FEDC-4609-9419-4664E7A3BCF0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landfilled and 50% reused on site for land levelling</t>
      </text>
    </comment>
    <comment ref="H42" authorId="2" shapeId="0" xr:uid="{4AB1C1EA-5DF1-4B0C-9EC4-FC4F867371FE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4" authorId="3" shapeId="0" xr:uid="{B1B77380-7CA1-4B25-884F-F7388A0379BC}">
      <text>
        <t>[Threaded comment]
Your version of Excel allows you to read this threaded comment; however, any edits to it will get removed if the file is opened in a newer version of Excel. Learn more: https://go.microsoft.com/fwlink/?linkid=870924
Comment:
    70% scrap tiles reused within the site and 30% sent to landfill</t>
      </text>
    </comment>
    <comment ref="D57" authorId="4" shapeId="0" xr:uid="{DBE6E7F9-7BE9-4685-9918-CA2496BC78C5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tc={CDE514E5-ACBC-41AC-8FFE-A83C4D84A0C8}</author>
    <author>tc={8D525F7E-68D8-4BC0-B2F3-186D507F10E5}</author>
    <author>tc={FF7DF073-F789-443D-8028-7D89A0C8B62E}</author>
  </authors>
  <commentList>
    <comment ref="C3" authorId="0" shapeId="0" xr:uid="{CDE514E5-ACBC-41AC-8FFE-A83C4D84A0C8}">
      <text>
        <t>[Threaded comment]
Your version of Excel allows you to read this threaded comment; however, any edits to it will get removed if the file is opened in a newer version of Excel. Learn more: https://go.microsoft.com/fwlink/?linkid=870924
Comment:
    low value plastics</t>
      </text>
    </comment>
    <comment ref="O19" authorId="1" shapeId="0" xr:uid="{8D525F7E-68D8-4BC0-B2F3-186D507F10E5}">
      <text>
        <t>[Threaded comment]
Your version of Excel allows you to read this threaded comment; however, any edits to it will get removed if the file is opened in a newer version of Excel. Learn more: https://go.microsoft.com/fwlink/?linkid=870924
Comment:
    619 litres of used diesel = 619 * 0.83 = 513.77
density of diesel = 0.83 kg/litre</t>
      </text>
    </comment>
    <comment ref="D31" authorId="2" shapeId="0" xr:uid="{FF7DF073-F789-443D-8028-7D89A0C8B62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entire municipal waste as it was sent to municipality from Apr 2022 to Mar 2023 and hence included all the waste and not just paper, plastic</t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tc={DD47B6C6-A47C-43F3-BEE9-E015CEF4AA56}</author>
    <author>tc={A7AA29CD-1CD4-4B33-BD39-060C5B298168}</author>
    <author>tc={7AE94E1A-7046-4D7A-A71A-66BCB80D5FB8}</author>
    <author>tc={019B8FB8-A5AD-4B17-81F8-44A49FCF2EB0}</author>
    <author>tc={846DAD16-8955-491D-B2C0-17560FAFEDBB}</author>
  </authors>
  <commentList>
    <comment ref="D33" authorId="0" shapeId="0" xr:uid="{DD47B6C6-A47C-43F3-BEE9-E015CEF4AA56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D42" authorId="1" shapeId="0" xr:uid="{A7AA29CD-1CD4-4B33-BD39-060C5B298168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landfilled and 50% reused on site for land levelling</t>
      </text>
    </comment>
    <comment ref="H42" authorId="2" shapeId="0" xr:uid="{7AE94E1A-7046-4D7A-A71A-66BCB80D5FB8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4" authorId="3" shapeId="0" xr:uid="{019B8FB8-A5AD-4B17-81F8-44A49FCF2EB0}">
      <text>
        <t>[Threaded comment]
Your version of Excel allows you to read this threaded comment; however, any edits to it will get removed if the file is opened in a newer version of Excel. Learn more: https://go.microsoft.com/fwlink/?linkid=870924
Comment:
    70% scrap tiles reused within the site and 30% sent to landfill</t>
      </text>
    </comment>
    <comment ref="D57" authorId="4" shapeId="0" xr:uid="{846DAD16-8955-491D-B2C0-17560FAFEDBB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tc={AB9EEF26-6152-45E0-B0D9-C55E058AE037}</author>
    <author>tc={3372DA25-5CA7-40DE-9EE4-3B0389D3DFF4}</author>
    <author>tc={6DDB80FF-468B-4824-A8FA-BA105062D3DB}</author>
  </authors>
  <commentList>
    <comment ref="D33" authorId="0" shapeId="0" xr:uid="{AB9EEF26-6152-45E0-B0D9-C55E058AE037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2" authorId="1" shapeId="0" xr:uid="{3372DA25-5CA7-40DE-9EE4-3B0389D3DFF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5" authorId="2" shapeId="0" xr:uid="{6DDB80FF-468B-4824-A8FA-BA105062D3DB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tc={3102B611-6DF7-4E09-87B1-3D7C136676E8}</author>
    <author>tc={196F0D0A-6EC9-4E77-9680-008EFBC9EAB8}</author>
    <author>tc={442D2089-D3A3-48E4-A80C-16EAA0AE1BE7}</author>
    <author>tc={91132440-0752-4E07-B34B-614F557B662C}</author>
    <author>tc={E3BFCBA8-13D9-4090-8F95-96CC2B54A65D}</author>
    <author>tc={981E1A45-A98D-43EB-8903-80528AFACFA8}</author>
  </authors>
  <commentList>
    <comment ref="F38" authorId="0" shapeId="0" xr:uid="{3102B611-6DF7-4E09-87B1-3D7C136676E8}">
      <text>
        <t>[Threaded comment]
Your version of Excel allows you to read this threaded comment; however, any edits to it will get removed if the file is opened in a newer version of Excel. Learn more: https://go.microsoft.com/fwlink/?linkid=870924
Comment:
    Conventional Method ​
Manpower per floor = 06 nos. x 05 days = 30 Man days ​
Cost per floor = 30 Mandays x 600 Rs. = Rs. 18000/-​
HK2 Total Cost = 18000 x 94 Floors = Rs. 16,92,000​
Manual Hydraulic Forklift ​
Total manpower per floor = 04 nos. x 3 days = 12 days​
Cost per floor = 12 Mandays x 600 Rs. = Rs. 7,200/-​
HK2 Total Cost = 7,200 x 94 Floors = Rs. 6,76,800​</t>
      </text>
    </comment>
    <comment ref="I38" authorId="1" shapeId="0" xr:uid="{196F0D0A-6EC9-4E77-9680-008EFBC9EAB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As manual loading and unloading is reduced from 6 times to 3 times, wastage is also reduced by half. ​
Blocks wasted per floor: 56/2 = 28 nos.​
​
Blocks saving from getting damaged per floor = 56 – 28 = 28 nos.​
Total Blocks saving in HK2 = 28 x 94 Floors = 2632 Nos.​
​
Per block weight = 20 kg
Cost saving per floor = 18,000 – 7,200 = Rs. 10,800/-​
Total cost saving in HK2 = 10,800 X 94 Floors = Rs. 10,15,200​
</t>
      </text>
    </comment>
    <comment ref="H80" authorId="2" shapeId="0" xr:uid="{442D2089-D3A3-48E4-A80C-16EAA0AE1BE7}">
      <text>
        <t>[Threaded comment]
Your version of Excel allows you to read this threaded comment; however, any edits to it will get removed if the file is opened in a newer version of Excel. Learn more: https://go.microsoft.com/fwlink/?linkid=870924
Comment:
    Gigatonnes (GT)</t>
      </text>
    </comment>
    <comment ref="I81" authorId="3" shapeId="0" xr:uid="{91132440-0752-4E07-B34B-614F557B662C}">
      <text>
        <t>[Threaded comment]
Your version of Excel allows you to read this threaded comment; however, any edits to it will get removed if the file is opened in a newer version of Excel. Learn more: https://go.microsoft.com/fwlink/?linkid=870924
Comment:
    40% compost generated per kg and ₹75 per kg of compost in the market</t>
      </text>
    </comment>
    <comment ref="H93" authorId="4" shapeId="0" xr:uid="{E3BFCBA8-13D9-4090-8F95-96CC2B54A65D}">
      <text>
        <t>[Threaded comment]
Your version of Excel allows you to read this threaded comment; however, any edits to it will get removed if the file is opened in a newer version of Excel. Learn more: https://go.microsoft.com/fwlink/?linkid=870924
Comment:
    Gigatonnes (GT)</t>
      </text>
    </comment>
    <comment ref="H94" authorId="5" shapeId="0" xr:uid="{981E1A45-A98D-43EB-8903-80528AFACFA8}">
      <text>
        <t>[Threaded comment]
Your version of Excel allows you to read this threaded comment; however, any edits to it will get removed if the file is opened in a newer version of Excel. Learn more: https://go.microsoft.com/fwlink/?linkid=870924
Comment:
    Gigatonnes (GT)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tc={96D3BD53-29C3-440B-A6AB-7F5B9F23822F}</author>
    <author>tc={8CEBB324-8B8E-4F10-BB4B-1A372967FEE9}</author>
    <author>tc={F0C09963-11FF-4F0A-8E43-22635F5A4D4B}</author>
    <author>tc={A97038E5-893C-4238-98C2-9B2C5DC91309}</author>
    <author>tc={86164134-AB69-473C-967F-D866735F9CEA}</author>
  </authors>
  <commentList>
    <comment ref="D33" authorId="0" shapeId="0" xr:uid="{96D3BD53-29C3-440B-A6AB-7F5B9F23822F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D42" authorId="1" shapeId="0" xr:uid="{8CEBB324-8B8E-4F10-BB4B-1A372967FEE9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is reused for land levelling onsite and remaining sent to landfill</t>
      </text>
    </comment>
    <comment ref="H42" authorId="2" shapeId="0" xr:uid="{F0C09963-11FF-4F0A-8E43-22635F5A4D4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43" authorId="3" shapeId="0" xr:uid="{A97038E5-893C-4238-98C2-9B2C5DC91309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is reused for land levelling onsite and remaining sent to landfill</t>
      </text>
    </comment>
    <comment ref="D56" authorId="4" shapeId="0" xr:uid="{86164134-AB69-473C-967F-D866735F9CEA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tc={44CB72E8-8753-4419-A353-13DF45F09747}</author>
    <author>tc={317D4E2A-C605-48DE-AA5A-F9765667DFC8}</author>
    <author>tc={452A1FD0-A236-4EE0-97AB-6027C3F2C14E}</author>
  </authors>
  <commentList>
    <comment ref="D33" authorId="0" shapeId="0" xr:uid="{44CB72E8-8753-4419-A353-13DF45F09747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2" authorId="1" shapeId="0" xr:uid="{317D4E2A-C605-48DE-AA5A-F9765667DFC8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5" authorId="2" shapeId="0" xr:uid="{452A1FD0-A236-4EE0-97AB-6027C3F2C14E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tc={58BFA8ED-1312-44BC-9339-1CCB0BB07EA3}</author>
    <author>tc={99AB47CC-D4EE-4356-BF2E-B3DAA1E67FDE}</author>
    <author>tc={6ED053B4-5116-4939-813D-9262AA88D3F5}</author>
    <author>tc={0C0BE564-E80A-48A2-9DC6-6301E93DD696}</author>
  </authors>
  <commentList>
    <comment ref="D33" authorId="0" shapeId="0" xr:uid="{58BFA8ED-1312-44BC-9339-1CCB0BB07EA3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2" authorId="1" shapeId="0" xr:uid="{99AB47CC-D4EE-4356-BF2E-B3DAA1E67FDE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5" authorId="2" shapeId="0" xr:uid="{6ED053B4-5116-4939-813D-9262AA88D3F5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
50% of soil is landfilled and remaining 50% is reused on site for land levelling</t>
      </text>
    </comment>
    <comment ref="D56" authorId="3" shapeId="0" xr:uid="{0C0BE564-E80A-48A2-9DC6-6301E93DD696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tc={0F32CDEA-14CC-42BC-B5A2-F6A0FED3DF1A}</author>
    <author>tc={B124A046-9A29-40CE-AE1C-5A0BC7C6B786}</author>
    <author>tc={9DFE949D-53B5-49E9-BEAD-5C8A26881F78}</author>
    <author>tc={D3EE6487-2453-43E9-B104-760C5C3DCB79}</author>
  </authors>
  <commentList>
    <comment ref="D33" authorId="0" shapeId="0" xr:uid="{0F32CDEA-14CC-42BC-B5A2-F6A0FED3DF1A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2" authorId="1" shapeId="0" xr:uid="{B124A046-9A29-40CE-AE1C-5A0BC7C6B78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46" authorId="2" shapeId="0" xr:uid="{9DFE949D-53B5-49E9-BEAD-5C8A26881F78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of debris is reused on site for land levelling</t>
      </text>
    </comment>
    <comment ref="D56" authorId="3" shapeId="0" xr:uid="{D3EE6487-2453-43E9-B104-760C5C3DCB79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tc={2163042E-51DE-4D84-864D-F722783EF931}</author>
    <author>tc={CA183F56-3BC7-458C-82B9-E33598D0F1F5}</author>
    <author>tc={EA1CAB60-5D5D-43A3-8FC0-633D2480D65C}</author>
    <author>tc={BD64E4FC-D7EB-4ABC-A0FF-D2AF79B344DB}</author>
  </authors>
  <commentList>
    <comment ref="D34" authorId="0" shapeId="0" xr:uid="{2163042E-51DE-4D84-864D-F722783EF931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3" authorId="1" shapeId="0" xr:uid="{CA183F56-3BC7-458C-82B9-E33598D0F1F5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47" authorId="2" shapeId="0" xr:uid="{EA1CAB60-5D5D-43A3-8FC0-633D2480D65C}">
      <text>
        <t>[Threaded comment]
Your version of Excel allows you to read this threaded comment; however, any edits to it will get removed if the file is opened in a newer version of Excel. Learn more: https://go.microsoft.com/fwlink/?linkid=870924
Comment:
    90% debris sent to MCGM authorized sites for land levelling</t>
      </text>
    </comment>
    <comment ref="D58" authorId="3" shapeId="0" xr:uid="{BD64E4FC-D7EB-4ABC-A0FF-D2AF79B344DB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tc={365D04D8-7672-421E-9BFF-6E8DEE9B5DC0}</author>
    <author>tc={9ACD34BF-BB10-4C66-8736-27720413B24E}</author>
    <author>tc={108A863D-3256-493B-B948-9C57D4841677}</author>
  </authors>
  <commentList>
    <comment ref="D33" authorId="0" shapeId="0" xr:uid="{365D04D8-7672-421E-9BFF-6E8DEE9B5DC0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H42" authorId="1" shapeId="0" xr:uid="{9ACD34BF-BB10-4C66-8736-27720413B24E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5" authorId="2" shapeId="0" xr:uid="{108A863D-3256-493B-B948-9C57D4841677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tc={C353CDEB-8577-45C2-95E4-27FA0F31F6EB}</author>
    <author>tc={6C840545-33A0-452A-8C5E-334304771958}</author>
    <author>tc={D14F95EF-487B-43F9-A40A-4B798698D5B0}</author>
    <author>tc={5EDE21D7-8D1F-4381-AD32-901E341BCF21}</author>
    <author>tc={26504063-1FFF-4570-A848-FD2E7F2203F1}</author>
  </authors>
  <commentList>
    <comment ref="D33" authorId="0" shapeId="0" xr:uid="{C353CDEB-8577-45C2-95E4-27FA0F31F6EB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conversion factor of 1kg = 1.1 litre oil</t>
      </text>
    </comment>
    <comment ref="D42" authorId="1" shapeId="0" xr:uid="{6C840545-33A0-452A-8C5E-334304771958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is reused</t>
      </text>
    </comment>
    <comment ref="H42" authorId="2" shapeId="0" xr:uid="{D14F95EF-487B-43F9-A40A-4B798698D5B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50% as food waste of the bio-degradable waste</t>
      </text>
    </comment>
    <comment ref="D55" authorId="3" shapeId="0" xr:uid="{5EDE21D7-8D1F-4381-AD32-901E341BCF21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 and 50% is reused
50% is reused on site for land levelling</t>
      </text>
    </comment>
    <comment ref="D56" authorId="4" shapeId="0" xr:uid="{26504063-1FFF-4570-A848-FD2E7F2203F1}">
      <text>
        <t>[Threaded comment]
Your version of Excel allows you to read this threaded comment; however, any edits to it will get removed if the file is opened in a newer version of Excel. Learn more: https://go.microsoft.com/fwlink/?linkid=870924
Comment:
    1 cu. m = 1620 kg and 50% is reused</t>
      </text>
    </comment>
  </commentList>
</comments>
</file>

<file path=xl/sharedStrings.xml><?xml version="1.0" encoding="utf-8"?>
<sst xmlns="http://schemas.openxmlformats.org/spreadsheetml/2006/main" count="4696" uniqueCount="394">
  <si>
    <t>Happinest Tathawade</t>
  </si>
  <si>
    <t>Alcove</t>
  </si>
  <si>
    <t>B9Hope</t>
  </si>
  <si>
    <t>Citadel</t>
  </si>
  <si>
    <t>IvyLush</t>
  </si>
  <si>
    <t>Eden</t>
  </si>
  <si>
    <t>Lakewoods</t>
  </si>
  <si>
    <t>Luminare</t>
  </si>
  <si>
    <t>Meridian</t>
  </si>
  <si>
    <t>Navy</t>
  </si>
  <si>
    <t>Nestalgia</t>
  </si>
  <si>
    <t>Vista</t>
  </si>
  <si>
    <t>Zen</t>
  </si>
  <si>
    <t>May</t>
  </si>
  <si>
    <t>2024-25</t>
  </si>
  <si>
    <t>2021-22</t>
  </si>
  <si>
    <t>2022-23</t>
  </si>
  <si>
    <t>2023-24</t>
  </si>
  <si>
    <t>2025-26</t>
  </si>
  <si>
    <t>2026-27</t>
  </si>
  <si>
    <t>2027-28</t>
  </si>
  <si>
    <t>2028-29</t>
  </si>
  <si>
    <t>2029-30</t>
  </si>
  <si>
    <t>Happinest Kalyan</t>
  </si>
  <si>
    <t>Happinest Palghar 2</t>
  </si>
  <si>
    <t>Happinest @MWC (P21)</t>
  </si>
  <si>
    <t>MWC Chennai</t>
  </si>
  <si>
    <t>MWC Jaipur</t>
  </si>
  <si>
    <t>Chennai City Office</t>
  </si>
  <si>
    <t>Jaipur City Office</t>
  </si>
  <si>
    <t>Origins Chennai</t>
  </si>
  <si>
    <t>Total</t>
  </si>
  <si>
    <t>Chennai</t>
  </si>
  <si>
    <t>Mumbai</t>
  </si>
  <si>
    <t>Gurugram</t>
  </si>
  <si>
    <t>Jaipur</t>
  </si>
  <si>
    <t>Pune</t>
  </si>
  <si>
    <t xml:space="preserve">Waste Type - Financial Year </t>
  </si>
  <si>
    <t>Waste Disposal/Treatment</t>
  </si>
  <si>
    <t>Waste Generated (kg)</t>
  </si>
  <si>
    <t>Total Waste</t>
  </si>
  <si>
    <t xml:space="preserve">  Hazardous Waste - Liquid (Volume) [kl]</t>
  </si>
  <si>
    <t>Wet</t>
  </si>
  <si>
    <t>Dry</t>
  </si>
  <si>
    <t>References -</t>
  </si>
  <si>
    <t xml:space="preserve">  Engine Oil / Waste [kl]</t>
  </si>
  <si>
    <t>Recycled/Reused</t>
  </si>
  <si>
    <t>Apr</t>
  </si>
  <si>
    <t>Per capita per day waste generation factor  -</t>
  </si>
  <si>
    <t>https://cpcb.nic.in/uploads/MSW/Waste_generation_Composition.pdf</t>
  </si>
  <si>
    <t xml:space="preserve">  Hazardous Waste-Solid (mass) [kg]</t>
  </si>
  <si>
    <t>kg/c/day</t>
  </si>
  <si>
    <t xml:space="preserve">  E-Waste(Mass) [kg]</t>
  </si>
  <si>
    <t>Jun</t>
  </si>
  <si>
    <t xml:space="preserve">  Hazardous waste-Solid (Number) [Number]</t>
  </si>
  <si>
    <t>Jul</t>
  </si>
  <si>
    <t xml:space="preserve">  Battery/Battery Scrap(Number) [Number]</t>
  </si>
  <si>
    <t>Aug</t>
  </si>
  <si>
    <t xml:space="preserve">  Empty Cans [Number]</t>
  </si>
  <si>
    <t>Sep</t>
  </si>
  <si>
    <t xml:space="preserve">  Non-Hazardous Waste - Solid (mass) [kg]</t>
  </si>
  <si>
    <t>Oct</t>
  </si>
  <si>
    <t xml:space="preserve">  Aluminium/Metals Packaging - MSW [kg]</t>
  </si>
  <si>
    <t>Nov</t>
  </si>
  <si>
    <t xml:space="preserve">  Bio-Degradable Waste [kg]</t>
  </si>
  <si>
    <t>Landfill</t>
  </si>
  <si>
    <t>Dec</t>
  </si>
  <si>
    <t xml:space="preserve">  Bitumen - C&amp;D Waste [kg/kg]</t>
  </si>
  <si>
    <t>Jan</t>
  </si>
  <si>
    <t xml:space="preserve">  Brick &amp; Masonry - C&amp;D Waste [kg]</t>
  </si>
  <si>
    <t>Feb</t>
  </si>
  <si>
    <t xml:space="preserve">  Cardboard (Puttha) [kg]</t>
  </si>
  <si>
    <t>Mar</t>
  </si>
  <si>
    <t xml:space="preserve">  Concrete - C&amp;D Waste [kg]</t>
  </si>
  <si>
    <t xml:space="preserve">  Glass - C&amp;D Waste [kg]</t>
  </si>
  <si>
    <t xml:space="preserve">  Glass - MSW [kg]</t>
  </si>
  <si>
    <t xml:space="preserve">  Metal / Scrap - C&amp;D Waste [kg]</t>
  </si>
  <si>
    <t xml:space="preserve">  Others - C&amp;D Waste [kg]</t>
  </si>
  <si>
    <t xml:space="preserve">  Paper / Paper Scrap / Books [kg]</t>
  </si>
  <si>
    <t xml:space="preserve">  Plastic - C&amp;D Waste [kg]</t>
  </si>
  <si>
    <t xml:space="preserve">  Plastic - MSW [kg]</t>
  </si>
  <si>
    <t xml:space="preserve">  Plastic - Packaging Waste [kg]</t>
  </si>
  <si>
    <t xml:space="preserve">  Thermocol - C&amp;D Waste [kg]</t>
  </si>
  <si>
    <t xml:space="preserve">  Tiles Scrap - C&amp;D Waste [kg]</t>
  </si>
  <si>
    <t xml:space="preserve">  Tissue Paper/Cardboard/Paper Bags - MSW [kg]</t>
  </si>
  <si>
    <t xml:space="preserve">  Wood / Panels - C&amp;D Waste [kg]</t>
  </si>
  <si>
    <r>
      <t xml:space="preserve">  Non-Hazardous Waste - Solid (Volume) [m</t>
    </r>
    <r>
      <rPr>
        <b/>
        <vertAlign val="superscript"/>
        <sz val="12"/>
        <color theme="1"/>
        <rFont val="Aptos Narrow"/>
        <family val="2"/>
        <scheme val="minor"/>
      </rPr>
      <t>3</t>
    </r>
    <r>
      <rPr>
        <b/>
        <sz val="12"/>
        <color theme="1"/>
        <rFont val="Aptos Narrow"/>
        <family val="2"/>
        <scheme val="minor"/>
      </rPr>
      <t>]</t>
    </r>
  </si>
  <si>
    <r>
      <t xml:space="preserve">  Soil, Sand &amp; Gravel - C&amp;D Waste [m</t>
    </r>
    <r>
      <rPr>
        <vertAlign val="superscript"/>
        <sz val="12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]</t>
    </r>
  </si>
  <si>
    <t>Waste Type</t>
  </si>
  <si>
    <t>Disposal/Treatment Method</t>
  </si>
  <si>
    <t>Total Waste generated</t>
  </si>
  <si>
    <t>Units</t>
  </si>
  <si>
    <t>kg</t>
  </si>
  <si>
    <t>Number</t>
  </si>
  <si>
    <t>% Diversion from landfill</t>
  </si>
  <si>
    <t>Food</t>
  </si>
  <si>
    <t>Paper</t>
  </si>
  <si>
    <t>Wood</t>
  </si>
  <si>
    <t>Happinest Kalyan 2
(Miracle)</t>
  </si>
  <si>
    <t>Asbestos sheets [kg]</t>
  </si>
  <si>
    <t>Citadel (Horizon)</t>
  </si>
  <si>
    <t>litre</t>
  </si>
  <si>
    <t>litres</t>
  </si>
  <si>
    <t>Sand</t>
  </si>
  <si>
    <t>Gravel</t>
  </si>
  <si>
    <t>Soil</t>
  </si>
  <si>
    <t>Eden (Kanakapura)</t>
  </si>
  <si>
    <t>Nestalgia (Homeground)</t>
  </si>
  <si>
    <t>Worli HO</t>
  </si>
  <si>
    <t>Retail or leased space</t>
  </si>
  <si>
    <t>Organic waste</t>
  </si>
  <si>
    <t>Inorganic waste</t>
  </si>
  <si>
    <t xml:space="preserve">Per Capita Waste Kg/Capita/Day - Retail Unit </t>
  </si>
  <si>
    <t>Kg/Capita/Day</t>
  </si>
  <si>
    <t>ATP RO</t>
  </si>
  <si>
    <t>Borivali RO</t>
  </si>
  <si>
    <t>Waste Management - MWC Chennai</t>
  </si>
  <si>
    <t>Category</t>
  </si>
  <si>
    <t>Type of Waste</t>
  </si>
  <si>
    <t xml:space="preserve">Diposal Method </t>
  </si>
  <si>
    <t xml:space="preserve">Vendor details </t>
  </si>
  <si>
    <t>Non Hazardous</t>
  </si>
  <si>
    <t>Food and Other waste - Composted</t>
  </si>
  <si>
    <t>Food Waste</t>
  </si>
  <si>
    <t>Recycling in Biogas Plant</t>
  </si>
  <si>
    <t>In house facility - SOP No-------</t>
  </si>
  <si>
    <t>Garden Waste</t>
  </si>
  <si>
    <t>Recycling in Compost Plant</t>
  </si>
  <si>
    <t>In house facility- SOP No ........</t>
  </si>
  <si>
    <t>Composting for soiled paper</t>
  </si>
  <si>
    <t>Paper and Other Recyclables</t>
  </si>
  <si>
    <t>Tissues</t>
  </si>
  <si>
    <t>Recycling</t>
  </si>
  <si>
    <t xml:space="preserve">Angalaperumal- </t>
  </si>
  <si>
    <t>Plastics</t>
  </si>
  <si>
    <t>Ramesh &amp;Co</t>
  </si>
  <si>
    <t>Metal</t>
  </si>
  <si>
    <t>Glass</t>
  </si>
  <si>
    <t>Coconut Shells</t>
  </si>
  <si>
    <t>Emmperuman Biofuels</t>
  </si>
  <si>
    <t xml:space="preserve">MLP's </t>
  </si>
  <si>
    <t>EnviroTech</t>
  </si>
  <si>
    <t>Harzadous</t>
  </si>
  <si>
    <t xml:space="preserve">Used Oil </t>
  </si>
  <si>
    <t xml:space="preserve">Vendor name &amp; quantity </t>
  </si>
  <si>
    <t>Waste contaning oil</t>
  </si>
  <si>
    <t>Quality Business System</t>
  </si>
  <si>
    <t xml:space="preserve">Battery </t>
  </si>
  <si>
    <t>E-waste</t>
  </si>
  <si>
    <t>Landfilled</t>
  </si>
  <si>
    <t>Inerts &amp; others ©</t>
  </si>
  <si>
    <t>Inhouse Landfill</t>
  </si>
  <si>
    <t>Total Waste (per month) - kg</t>
  </si>
  <si>
    <t>Total Waste diversion (per month) - kg</t>
  </si>
  <si>
    <t>Total waste to landfill (per month) - kg</t>
  </si>
  <si>
    <t>Total Waste (Annual) - kg</t>
  </si>
  <si>
    <t>Annual Waste diversion - kg</t>
  </si>
  <si>
    <t>Annual Waste to landfill - kg</t>
  </si>
  <si>
    <t>Food Waste (% of total waste)</t>
  </si>
  <si>
    <t>Garden Waste (% of total waste)</t>
  </si>
  <si>
    <t>Paper Waste (% of total waste)</t>
  </si>
  <si>
    <t>Categories</t>
  </si>
  <si>
    <t>Sub - Categories</t>
  </si>
  <si>
    <t>Disposal Method</t>
  </si>
  <si>
    <t>Vendor Details</t>
  </si>
  <si>
    <t>Recyclable</t>
  </si>
  <si>
    <t>Plastic</t>
  </si>
  <si>
    <t>Polythene(MLP and low value)</t>
  </si>
  <si>
    <t>landfill</t>
  </si>
  <si>
    <t>JMC</t>
  </si>
  <si>
    <t>Garbage bag (black)</t>
  </si>
  <si>
    <t>Plastic plate and glass</t>
  </si>
  <si>
    <t>Pet bottle (hard bottle)</t>
  </si>
  <si>
    <t>Packing Polythene (high value)</t>
  </si>
  <si>
    <t>Textile</t>
  </si>
  <si>
    <t>Waste clothes</t>
  </si>
  <si>
    <t>Paper Cup</t>
  </si>
  <si>
    <t>Tissue paper</t>
  </si>
  <si>
    <t>Paper Plate</t>
  </si>
  <si>
    <t>Biodegradable</t>
  </si>
  <si>
    <t>Food waste</t>
  </si>
  <si>
    <t>Composted</t>
  </si>
  <si>
    <t>In house</t>
  </si>
  <si>
    <t>Reject</t>
  </si>
  <si>
    <t>Thermocol</t>
  </si>
  <si>
    <t>Damaged Glass</t>
  </si>
  <si>
    <t>STP sludge</t>
  </si>
  <si>
    <t>Hazardous Waste</t>
  </si>
  <si>
    <t>Used Oil</t>
  </si>
  <si>
    <t>Used Filter (In Nos)</t>
  </si>
  <si>
    <t>Batteries</t>
  </si>
  <si>
    <t>Total Waste Generated (per month) - kg</t>
  </si>
  <si>
    <t>Total Waste Landfilled or sent to JMC (per month) - kg</t>
  </si>
  <si>
    <t>Total Waste Composted (per month) - kg</t>
  </si>
  <si>
    <t>Total Waste (FY 2021-22) - kg</t>
  </si>
  <si>
    <t>Total Waste diversion (FY 2021-22) - kg</t>
  </si>
  <si>
    <t>Total Waste to landfill (FY 2021-22) - kg</t>
  </si>
  <si>
    <t>Food Waste - kg</t>
  </si>
  <si>
    <t>Garden Waste - kg</t>
  </si>
  <si>
    <t>Textile Waste - kg</t>
  </si>
  <si>
    <t>Paper. Plastic and Other - kg</t>
  </si>
  <si>
    <t>Section under Natural Capital</t>
  </si>
  <si>
    <t xml:space="preserve">Project </t>
  </si>
  <si>
    <t>Initiative Category</t>
  </si>
  <si>
    <t>Initiative Type</t>
  </si>
  <si>
    <t>Description of Initiative</t>
  </si>
  <si>
    <t>Annual Savings</t>
  </si>
  <si>
    <t>Annual Emission Savings (tCO2e)</t>
  </si>
  <si>
    <t>Investment required (INR)</t>
  </si>
  <si>
    <t>Impacted SDG</t>
  </si>
  <si>
    <t>Material Optimization</t>
  </si>
  <si>
    <t>Embodied Carbon reduction</t>
  </si>
  <si>
    <t>Concrete use optimization</t>
  </si>
  <si>
    <t>SDG 12 - Responsible Consumption and Production
SDG 13 - Climate Action</t>
  </si>
  <si>
    <t>Wood Savings due to use of aluminum formwork</t>
  </si>
  <si>
    <t>Use of Aluminium panels instead Plywood for shuttering​</t>
  </si>
  <si>
    <t>Change in member from gypsum to putty</t>
  </si>
  <si>
    <t>P21</t>
  </si>
  <si>
    <t>Reduced spacing between the vertical 20mm x 20mm MS pipes in staircase handrails</t>
  </si>
  <si>
    <t>Reduction on shaft plastering area</t>
  </si>
  <si>
    <t>Use of concrete cubes instead of concrete for fire pedestals</t>
  </si>
  <si>
    <t>Reduction in GSB thickness to 150mm from 300mm considering grasscrete pathway on driveway</t>
  </si>
  <si>
    <t>Happinest Kalyan 2</t>
  </si>
  <si>
    <t>Use of GI sleeve instead of PVC</t>
  </si>
  <si>
    <t>Use of GGBS in concrete</t>
  </si>
  <si>
    <t xml:space="preserve">Reusable temporary structures - Induction room, First aid room &amp; Security cabin at site built using re-usable PUF panels which are thermally
efficient </t>
  </si>
  <si>
    <t>Curing tank made using reusable HDPE</t>
  </si>
  <si>
    <t>Door and window Jambs- Gypsum reduction​</t>
  </si>
  <si>
    <t>Optimization of Texture finish - Above Terrace and Shaft​</t>
  </si>
  <si>
    <t>Removal of Protection plaster ​and instead use geotextile</t>
  </si>
  <si>
    <t>For UPVC used in ventilators - opening to shaft support provision changed from friction hinge to L-hinge</t>
  </si>
  <si>
    <t>Energy</t>
  </si>
  <si>
    <t>Low-carbon energy generation</t>
  </si>
  <si>
    <t>Solar PV</t>
  </si>
  <si>
    <t>Rooftop Solar for project office (6 kWp)</t>
  </si>
  <si>
    <t>kWh</t>
  </si>
  <si>
    <t>SDG 7 - Affordable and Clean Energy
SDG 13 - Climate Action</t>
  </si>
  <si>
    <t>Rooftop Solar for sales gallery (30 kWp)</t>
  </si>
  <si>
    <t>Use of solar blinkers on OHS centre</t>
  </si>
  <si>
    <t>Company policy or behavioral change</t>
  </si>
  <si>
    <t>Resource Efficiency</t>
  </si>
  <si>
    <t>Use of daylight to reduce lighting demand</t>
  </si>
  <si>
    <t>Energy efficiency in production processes</t>
  </si>
  <si>
    <t>Use of Performance glass for reducing cooling (AC) demand</t>
  </si>
  <si>
    <t>Smart control system</t>
  </si>
  <si>
    <t>Use of Motion Sensor in Restrooms</t>
  </si>
  <si>
    <t>Use of manual hydraulic forklift</t>
  </si>
  <si>
    <t>Maintain AC temperature at 26 deg. celsius to reduce energy consumption</t>
  </si>
  <si>
    <t>Creating awareness and installing signages to ensure proper utilisation of power through behavioural management</t>
  </si>
  <si>
    <t>Switching to energy efficient BLDC fans</t>
  </si>
  <si>
    <t>Use of BEE 5 star-rated applicance to reduce enegry demand</t>
  </si>
  <si>
    <t>Use of BLDC fans with AC at 24oC</t>
  </si>
  <si>
    <t>Low-carbon energy consumption</t>
  </si>
  <si>
    <t>Solar and Wind Energy from grid</t>
  </si>
  <si>
    <t>Renewable Energy from Grid</t>
  </si>
  <si>
    <t>Biogas</t>
  </si>
  <si>
    <t>Convert 1 Diesel generator in to dual fuel - Biogas + Diesel DG (diesel in litres saved - 103 litres)</t>
  </si>
  <si>
    <t>litres of diesel</t>
  </si>
  <si>
    <t>On-site renewable (Evolve and utlities)</t>
  </si>
  <si>
    <t>-</t>
  </si>
  <si>
    <t>Lighting</t>
  </si>
  <si>
    <t>Use of Ultratech Power grout for Wall tie packing​</t>
  </si>
  <si>
    <t>Use of URP-Water proofing material for External tie holes​</t>
  </si>
  <si>
    <t>Waste</t>
  </si>
  <si>
    <t>Waste reduction and material circularity</t>
  </si>
  <si>
    <t>Waste reduction and material circularity - On-site waste treatment through composting and biogas plant (for organic waste) and material recycling/reuse(for other waste types))</t>
  </si>
  <si>
    <t>Composting of 195 kg of organic waste</t>
  </si>
  <si>
    <t>kg food waste</t>
  </si>
  <si>
    <t>Circuit identification ferrules in alphnumeric pairs instead of buying full and separate set (alphabet and numbers) of ferrules for alphabets and avoid wastage</t>
  </si>
  <si>
    <t>Zero Waste to Landfill - Emission Reduction (3020 tonnes diverted away from landfill)</t>
  </si>
  <si>
    <t xml:space="preserve">kg </t>
  </si>
  <si>
    <t>Other, please specify (Waste reduction and material circularity - On-site waste treatment through composting and biogas plant (for organic waste) and material recycling/reuse(for other waste types))</t>
  </si>
  <si>
    <t>Total Reduction in Emissions for reduction of waste to landfill - Journey towards Zero Waste to Landfill (162.236 tonnes diverted away from landfill)</t>
  </si>
  <si>
    <t>Tathawade</t>
  </si>
  <si>
    <t>Compositng of food waste on site</t>
  </si>
  <si>
    <t>Reuse of waste blocks</t>
  </si>
  <si>
    <t>Water</t>
  </si>
  <si>
    <t>Water Conservation</t>
  </si>
  <si>
    <t>Use of Curing Compund instead of water</t>
  </si>
  <si>
    <t>SDG 6 - Clean Water and Sanitation
SDG 12 - Responsible Consumption and Production
SDG 13 - Climate Action</t>
  </si>
  <si>
    <t>Reuse of excavated water in construction (wheel washing, dust suppression)</t>
  </si>
  <si>
    <t>Reuse of RO wastewater</t>
  </si>
  <si>
    <t>Installing Aerators for plumbing fixtures to conserve water</t>
  </si>
  <si>
    <t xml:space="preserve">Use of Curing Compound </t>
  </si>
  <si>
    <t xml:space="preserve">Irrigation system for landscape to conserve water </t>
  </si>
  <si>
    <t>Reuse of wheel washing water</t>
  </si>
  <si>
    <t>Use of low flow fixtures &amp; Waterless urinals to conserve water</t>
  </si>
  <si>
    <t>Reuse of excavated water in construction</t>
  </si>
  <si>
    <t>Waterproofing membrane Area reduction​</t>
  </si>
  <si>
    <t>Rainwater storage in UGT and reuse in construction</t>
  </si>
  <si>
    <t>Rainwater collection and storge for reuse in construction</t>
  </si>
  <si>
    <t>Use of curing compund for Curing</t>
  </si>
  <si>
    <t>Collect, Store and reuse rainwater onsite</t>
  </si>
  <si>
    <t>Treat sewage water and reuse onsite</t>
  </si>
  <si>
    <t>Reuse of excavated soil for backfilling</t>
  </si>
  <si>
    <t>Composting of Food waste on site (502 kg)</t>
  </si>
  <si>
    <t>Reuse of waste concrete to make pavers for temporary pathways</t>
  </si>
  <si>
    <t xml:space="preserve">Reuse of waste concrete in the following works
Concrete waste from pipelines  as Foundation PCC 
RO water base area 
Passenger/ Material hoist base 
Worker camp area 
Making concrete pavers 
Use of Concrete cubes for pathway area
Use of Concrete cubes as a base at RO </t>
  </si>
  <si>
    <t>Reuse of waste blocks to make tree barricading</t>
  </si>
  <si>
    <t>Use of reusable plates instead of single use plastic or paper plates for workers</t>
  </si>
  <si>
    <t>Topsoil preservation and Reuse in landscape instead of buying from outside</t>
  </si>
  <si>
    <t>Reuse of waste paper as rought sheets</t>
  </si>
  <si>
    <t>Reuse of concrete debris per slab for watta making</t>
  </si>
  <si>
    <t>Reuse of waste stones from demolition as barricading, etc.</t>
  </si>
  <si>
    <t>Reuse of top soil to create mounds and lawns at the entrance area</t>
  </si>
  <si>
    <t>Deconstruction and recovery of metals and then sent to recyclers</t>
  </si>
  <si>
    <t>Deconstruction and recovery of debris and stone and then sent to authorized waste processing facilities</t>
  </si>
  <si>
    <t>Avoided Carbon Emissions (tCO2e)</t>
  </si>
  <si>
    <t>tCO2e</t>
  </si>
  <si>
    <t>Water Savings (kl)</t>
  </si>
  <si>
    <t>kl</t>
  </si>
  <si>
    <t>Carbon</t>
  </si>
  <si>
    <t>Total Investment (₹)</t>
  </si>
  <si>
    <t>Parameter</t>
  </si>
  <si>
    <t>kilotres saved</t>
  </si>
  <si>
    <t>Use of recycled wastewater from HUDA (Haryana Urban Development Authority)</t>
  </si>
  <si>
    <t>Use of recycled wastewater from BWSSB - Bangalore water supply and sewerage board</t>
  </si>
  <si>
    <t>Use of recycled wastewater from onsite STP in neighboruing Manipal County</t>
  </si>
  <si>
    <t>Automated wheel washing facility with water recycling and reuse system</t>
  </si>
  <si>
    <t>Use of one side used papers for making note pads</t>
  </si>
  <si>
    <t xml:space="preserve">Use of scrap steel for drain barrication </t>
  </si>
  <si>
    <t>Reusing waste AAC blocks &amp; concrete cubes as protection barrier for other building materials stored onsite</t>
  </si>
  <si>
    <t>ACO Drain replaced by PVC Drain Channel ​</t>
  </si>
  <si>
    <t>Double height area- Plastering optimization​</t>
  </si>
  <si>
    <t>Reuse of Tile for Service rooms​</t>
  </si>
  <si>
    <t>Increased spacing between 2 lights in passages, and reduced no. of LED lights with maintenance of lux levels</t>
  </si>
  <si>
    <t>Use of gypsum plastering instead of cement in corridors</t>
  </si>
  <si>
    <t>Rooftop Solar for project (7 kWp)</t>
  </si>
  <si>
    <t>Solar from grid (Adani) for project office</t>
  </si>
  <si>
    <t>Reuse existing tiles for site infra-activities​</t>
  </si>
  <si>
    <t>Total monetary savings and/or avoided costs (₹)</t>
  </si>
  <si>
    <t>Cost Savings and/or Avoided Costs</t>
  </si>
  <si>
    <t>Cost Savings and/or avoided costs 
(emission reduction initiatives)</t>
  </si>
  <si>
    <t>Annual Monetary Savings and/or avoided costs
(INR)</t>
  </si>
  <si>
    <r>
      <t xml:space="preserve">Energy and Water Conservation, Material Optimization and Waste avoidance - FY 25 
</t>
    </r>
    <r>
      <rPr>
        <b/>
        <sz val="11"/>
        <color theme="0"/>
        <rFont val="Aptos Narrow"/>
        <family val="2"/>
        <scheme val="minor"/>
      </rPr>
      <t>(Avoided Costs and/or cost savings, and avoided emissions)</t>
    </r>
  </si>
  <si>
    <t>Q1</t>
  </si>
  <si>
    <t>Q2</t>
  </si>
  <si>
    <t>Q3</t>
  </si>
  <si>
    <t>Q4</t>
  </si>
  <si>
    <t>Savings of Cost &amp; Carbon Emission.pptx</t>
  </si>
  <si>
    <t>CITADEL_SITE INITIATIVES_SUSTINAIBILITY_Q-1_FY25.pptx</t>
  </si>
  <si>
    <t>CITADEL_SITE INITIATIVES_SUSTINAIBILITY_Q-2_FY25.pptx</t>
  </si>
  <si>
    <t>SUSTINAIBILITY INITIATIVES AT MAHINDRA CITADEL_Q-3 FY25 2.pptx</t>
  </si>
  <si>
    <t>SUSTINAIBILITY INITIATIVES AT MAHINDRA CITADEL_Q-4 FY25.pptx</t>
  </si>
  <si>
    <t>Project Initiatives Evidence - 2022 -2025.pptx</t>
  </si>
  <si>
    <t>Eden_Project Initiatives Tracking -Q2.xlsx</t>
  </si>
  <si>
    <t>Waste reusage - Eden.xlsx</t>
  </si>
  <si>
    <t>Water consumption savings- Eden.xlsx</t>
  </si>
  <si>
    <t>Project Initiatives - Template.xlsx</t>
  </si>
  <si>
    <t>Back Up Data-Initiatives.xlsx</t>
  </si>
  <si>
    <t>Manual Hydraulic forklift Kaizen -HK2.pptx</t>
  </si>
  <si>
    <t>2).Motion sensor light saving working.xlsx</t>
  </si>
  <si>
    <t>Project Initiatives Tracking.xlsx</t>
  </si>
  <si>
    <t>Project Initiatives &amp; Tracking - Template.xlsx</t>
  </si>
  <si>
    <t>P17 - Q1 Site Initiatives (24-25).pptx</t>
  </si>
  <si>
    <t>Site Initiatives- Q2 (FY24-25).pptx</t>
  </si>
  <si>
    <t>Site Initiatives- Q3 (FY24-25).pptx</t>
  </si>
  <si>
    <t>Site Initiatives- Q4 (FY24-25).pptx</t>
  </si>
  <si>
    <t>Fan Energy Saving Comparision.xlsx</t>
  </si>
  <si>
    <t>SUSTAINABILITY CASE STUDY- Water Saving by using Curing Compound.docx</t>
  </si>
  <si>
    <t>Tiles Value Engineering.xlsx</t>
  </si>
  <si>
    <t>Cost Savings on Watta making.xlsx</t>
  </si>
  <si>
    <t>Office Const. Savings.xlsx</t>
  </si>
  <si>
    <t>Backfilling Tower B.xlsx</t>
  </si>
  <si>
    <t>Q1'24 Site initiatves.pptx</t>
  </si>
  <si>
    <t>P21 Site Initiatives Q2 FY25.pptx</t>
  </si>
  <si>
    <t>P21 Site Initiatives Q3 FY25.pptx</t>
  </si>
  <si>
    <t>P21 Site Initiatives Q4 FY25 updated.pptx</t>
  </si>
  <si>
    <t>Site initiative -1.pptx</t>
  </si>
  <si>
    <t>Water Saving by storage in UGT in Monsoon.pptx</t>
  </si>
  <si>
    <t>as shared in centralized data management portal - SOFI</t>
  </si>
  <si>
    <t>Site intiatives.pptx</t>
  </si>
  <si>
    <t>Site intiatives- Q2.pptx</t>
  </si>
  <si>
    <t>Site intiatives- Q3.pptx</t>
  </si>
  <si>
    <t>Zen Site initiatives.pptx</t>
  </si>
  <si>
    <t>MWC Chennai_Tech Innovation for a journey towards Carbon Neutrality_Rise for a more equal world_Planet+ve.pptx</t>
  </si>
  <si>
    <t>MWC Jaipur_Electrification for Climate positive development_Rise for a more equal world_Planet+ve.pptx</t>
  </si>
  <si>
    <t>Business/project</t>
  </si>
  <si>
    <t>as shared on email with sustainability team</t>
  </si>
  <si>
    <t>Reference Link</t>
  </si>
  <si>
    <t>Aligned to Net Zero Waste commitment - shared by site team on email with sustainability team</t>
  </si>
  <si>
    <t>as shared in centralized data platform - SOFI</t>
  </si>
  <si>
    <t>Replaced cement pedestals for holding fire pipes with DWC pipes readily available</t>
  </si>
  <si>
    <t>Yoga deck filling replaced from screed concrete with AAC blocks</t>
  </si>
  <si>
    <t>Rooftop Solar for buildings (7 kWp)</t>
  </si>
  <si>
    <t>Reduced number of lights (40 to 20) maintaining same lux levels</t>
  </si>
  <si>
    <t>Use of gypsum plastering instead of cement plastering</t>
  </si>
  <si>
    <t>Reuse of scrap to make plastic waste collection bins</t>
  </si>
  <si>
    <t>Use of Siphon action systems relying on gravity and atmospheric pressure rather than electrical power to extract excavated water for reuse</t>
  </si>
  <si>
    <t>Reuse of scrap to make vertigo platform</t>
  </si>
  <si>
    <t>Use of reusable paver blocks</t>
  </si>
  <si>
    <t>Murum stacking and reuse</t>
  </si>
  <si>
    <t>IC &amp; IC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</si>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</sst>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#,##0.0"/>
    <numFmt numFmtId="165" formatCode="#,##0.0#####"/>
    <numFmt numFmtId="166" formatCode="#,##0;\-#,##0;\-"/>
    <numFmt numFmtId="167" formatCode="_(* #,##0.00_);_(* \(#,##0.00\);_(* &quot;-&quot;??_);_(@_)"/>
    <numFmt numFmtId="168" formatCode="_(* #,##0_);_(* \(#,##0\);_(* &quot;-&quot;??_);_(@_)"/>
    <numFmt numFmtId="169" formatCode="_ * #,##0_ ;_ * \-#,##0_ ;_ * &quot;-&quot;??_ ;_ @_ "/>
    <numFmt numFmtId="170" formatCode="&quot;₹&quot;\ #,##0.00"/>
    <numFmt numFmtId="173" formatCode="&quot;₹&quot;\ #,##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Arial Black"/>
      <family val="2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1"/>
      <color theme="1"/>
      <name val="Arial Black"/>
      <family val="2"/>
    </font>
    <font>
      <u/>
      <sz val="12"/>
      <color theme="10"/>
      <name val="Aptos Narrow"/>
      <family val="2"/>
      <scheme val="minor"/>
    </font>
    <font>
      <b/>
      <u/>
      <sz val="12"/>
      <color theme="10"/>
      <name val="Aptos Narrow"/>
      <family val="2"/>
      <scheme val="minor"/>
    </font>
    <font>
      <b/>
      <vertAlign val="superscript"/>
      <sz val="12"/>
      <color theme="1"/>
      <name val="Aptos Narrow"/>
      <family val="2"/>
      <scheme val="minor"/>
    </font>
    <font>
      <vertAlign val="superscript"/>
      <sz val="12"/>
      <color theme="1"/>
      <name val="Aptos Narrow"/>
      <family val="2"/>
      <scheme val="minor"/>
    </font>
    <font>
      <sz val="12"/>
      <color theme="1"/>
      <name val="Arial Black"/>
      <family val="2"/>
    </font>
    <font>
      <sz val="10"/>
      <name val="Arial"/>
      <family val="2"/>
    </font>
    <font>
      <b/>
      <sz val="16"/>
      <color rgb="FF4D4D4F"/>
      <name val="Poppins"/>
    </font>
    <font>
      <sz val="11"/>
      <color rgb="FF4D4D4F"/>
      <name val="Poppins"/>
    </font>
    <font>
      <b/>
      <sz val="11"/>
      <color rgb="FF4D4D4F"/>
      <name val="Poppins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0"/>
      <name val="Arial Black"/>
      <family val="2"/>
    </font>
    <font>
      <sz val="11"/>
      <color theme="1"/>
      <name val="Arial Black"/>
      <family val="2"/>
    </font>
    <font>
      <sz val="11"/>
      <color theme="1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F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5" fillId="0" borderId="0"/>
    <xf numFmtId="0" fontId="19" fillId="0" borderId="0" applyNumberFormat="0" applyFill="0" applyBorder="0" applyAlignment="0" applyProtection="0"/>
  </cellStyleXfs>
  <cellXfs count="268">
    <xf numFmtId="0" fontId="0" fillId="0" borderId="0" xfId="0"/>
    <xf numFmtId="0" fontId="4" fillId="0" borderId="0" xfId="2"/>
    <xf numFmtId="0" fontId="4" fillId="0" borderId="15" xfId="2" applyBorder="1" applyAlignment="1">
      <alignment horizontal="center" vertical="center"/>
    </xf>
    <xf numFmtId="0" fontId="4" fillId="0" borderId="20" xfId="2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4" fillId="5" borderId="23" xfId="2" applyFill="1" applyBorder="1" applyAlignment="1">
      <alignment horizontal="center"/>
    </xf>
    <xf numFmtId="0" fontId="8" fillId="0" borderId="0" xfId="2" applyFont="1"/>
    <xf numFmtId="0" fontId="5" fillId="2" borderId="1" xfId="2" applyFont="1" applyFill="1" applyBorder="1" applyAlignment="1">
      <alignment horizontal="center" vertical="center" wrapText="1"/>
    </xf>
    <xf numFmtId="0" fontId="6" fillId="8" borderId="6" xfId="2" applyFont="1" applyFill="1" applyBorder="1" applyAlignment="1">
      <alignment vertical="center" wrapText="1"/>
    </xf>
    <xf numFmtId="0" fontId="5" fillId="5" borderId="58" xfId="2" applyFont="1" applyFill="1" applyBorder="1" applyAlignment="1">
      <alignment horizontal="center" vertical="center" wrapText="1"/>
    </xf>
    <xf numFmtId="0" fontId="5" fillId="2" borderId="49" xfId="2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7" fillId="9" borderId="33" xfId="2" applyFont="1" applyFill="1" applyBorder="1" applyAlignment="1">
      <alignment horizontal="center" vertical="center"/>
    </xf>
    <xf numFmtId="0" fontId="7" fillId="9" borderId="8" xfId="2" applyFont="1" applyFill="1" applyBorder="1" applyAlignment="1">
      <alignment horizontal="center" vertical="center"/>
    </xf>
    <xf numFmtId="3" fontId="4" fillId="0" borderId="9" xfId="2" applyNumberFormat="1" applyBorder="1" applyAlignment="1">
      <alignment horizontal="center" vertical="center"/>
    </xf>
    <xf numFmtId="0" fontId="4" fillId="6" borderId="44" xfId="2" applyFill="1" applyBorder="1" applyAlignment="1">
      <alignment horizontal="center" vertical="center"/>
    </xf>
    <xf numFmtId="0" fontId="4" fillId="0" borderId="44" xfId="2" applyBorder="1" applyAlignment="1">
      <alignment horizontal="center" vertical="center"/>
    </xf>
    <xf numFmtId="0" fontId="4" fillId="7" borderId="44" xfId="2" applyFill="1" applyBorder="1" applyAlignment="1">
      <alignment horizontal="center" vertical="center"/>
    </xf>
    <xf numFmtId="3" fontId="4" fillId="0" borderId="44" xfId="2" applyNumberFormat="1" applyBorder="1" applyAlignment="1">
      <alignment horizontal="center" vertical="center"/>
    </xf>
    <xf numFmtId="0" fontId="7" fillId="10" borderId="61" xfId="2" applyFont="1" applyFill="1" applyBorder="1" applyAlignment="1">
      <alignment horizontal="left" vertical="center"/>
    </xf>
    <xf numFmtId="0" fontId="7" fillId="10" borderId="62" xfId="2" applyFont="1" applyFill="1" applyBorder="1" applyAlignment="1">
      <alignment horizontal="left" vertical="center"/>
    </xf>
    <xf numFmtId="0" fontId="11" fillId="10" borderId="62" xfId="4" applyFont="1" applyFill="1" applyBorder="1" applyAlignment="1">
      <alignment horizontal="left" vertical="center"/>
    </xf>
    <xf numFmtId="0" fontId="7" fillId="10" borderId="53" xfId="2" applyFont="1" applyFill="1" applyBorder="1" applyAlignment="1">
      <alignment horizontal="left" vertical="center"/>
    </xf>
    <xf numFmtId="0" fontId="4" fillId="3" borderId="8" xfId="2" applyFill="1" applyBorder="1" applyAlignment="1">
      <alignment horizontal="center" vertical="center"/>
    </xf>
    <xf numFmtId="3" fontId="4" fillId="3" borderId="9" xfId="2" applyNumberFormat="1" applyFill="1" applyBorder="1" applyAlignment="1">
      <alignment horizontal="center" vertical="center"/>
    </xf>
    <xf numFmtId="0" fontId="7" fillId="10" borderId="55" xfId="2" applyFont="1" applyFill="1" applyBorder="1" applyAlignment="1">
      <alignment horizontal="left" vertical="center"/>
    </xf>
    <xf numFmtId="0" fontId="7" fillId="10" borderId="0" xfId="2" applyFont="1" applyFill="1" applyAlignment="1">
      <alignment horizontal="left" vertical="center"/>
    </xf>
    <xf numFmtId="0" fontId="7" fillId="10" borderId="45" xfId="2" applyFont="1" applyFill="1" applyBorder="1" applyAlignment="1">
      <alignment horizontal="left" vertical="center"/>
    </xf>
    <xf numFmtId="0" fontId="4" fillId="0" borderId="29" xfId="2" applyBorder="1" applyAlignment="1">
      <alignment horizontal="center" vertical="center"/>
    </xf>
    <xf numFmtId="0" fontId="4" fillId="6" borderId="18" xfId="2" applyFill="1" applyBorder="1" applyAlignment="1">
      <alignment horizontal="center" vertical="center"/>
    </xf>
    <xf numFmtId="0" fontId="4" fillId="7" borderId="18" xfId="2" applyFill="1" applyBorder="1" applyAlignment="1">
      <alignment horizontal="center" vertical="center"/>
    </xf>
    <xf numFmtId="3" fontId="4" fillId="0" borderId="18" xfId="2" applyNumberFormat="1" applyBorder="1" applyAlignment="1">
      <alignment horizontal="center" vertical="center"/>
    </xf>
    <xf numFmtId="0" fontId="4" fillId="6" borderId="29" xfId="2" applyFill="1" applyBorder="1" applyAlignment="1">
      <alignment horizontal="center" vertical="center"/>
    </xf>
    <xf numFmtId="0" fontId="4" fillId="7" borderId="29" xfId="2" applyFill="1" applyBorder="1" applyAlignment="1">
      <alignment horizontal="center" vertical="center"/>
    </xf>
    <xf numFmtId="3" fontId="4" fillId="0" borderId="29" xfId="2" applyNumberFormat="1" applyBorder="1" applyAlignment="1">
      <alignment horizontal="center" vertical="center"/>
    </xf>
    <xf numFmtId="0" fontId="7" fillId="10" borderId="41" xfId="2" applyFont="1" applyFill="1" applyBorder="1" applyAlignment="1">
      <alignment horizontal="left" vertical="center"/>
    </xf>
    <xf numFmtId="0" fontId="7" fillId="10" borderId="46" xfId="2" applyFont="1" applyFill="1" applyBorder="1" applyAlignment="1">
      <alignment horizontal="left" vertical="center"/>
    </xf>
    <xf numFmtId="0" fontId="7" fillId="10" borderId="17" xfId="2" applyFont="1" applyFill="1" applyBorder="1" applyAlignment="1">
      <alignment horizontal="left" vertical="center"/>
    </xf>
    <xf numFmtId="3" fontId="7" fillId="9" borderId="8" xfId="2" applyNumberFormat="1" applyFont="1" applyFill="1" applyBorder="1" applyAlignment="1">
      <alignment horizontal="center" vertical="center"/>
    </xf>
    <xf numFmtId="0" fontId="4" fillId="6" borderId="23" xfId="2" applyFill="1" applyBorder="1" applyAlignment="1">
      <alignment horizontal="center" vertical="center"/>
    </xf>
    <xf numFmtId="0" fontId="4" fillId="0" borderId="23" xfId="2" applyBorder="1" applyAlignment="1">
      <alignment horizontal="center" vertical="center"/>
    </xf>
    <xf numFmtId="3" fontId="4" fillId="0" borderId="23" xfId="2" applyNumberFormat="1" applyBorder="1" applyAlignment="1">
      <alignment horizontal="center" vertical="center"/>
    </xf>
    <xf numFmtId="0" fontId="4" fillId="7" borderId="23" xfId="2" applyFill="1" applyBorder="1" applyAlignment="1">
      <alignment horizontal="center" vertical="center"/>
    </xf>
    <xf numFmtId="0" fontId="4" fillId="0" borderId="18" xfId="2" applyBorder="1" applyAlignment="1">
      <alignment horizontal="center" vertical="center"/>
    </xf>
    <xf numFmtId="3" fontId="4" fillId="0" borderId="0" xfId="2" applyNumberFormat="1"/>
    <xf numFmtId="0" fontId="7" fillId="9" borderId="35" xfId="2" applyFont="1" applyFill="1" applyBorder="1" applyAlignment="1">
      <alignment horizontal="center" vertical="center"/>
    </xf>
    <xf numFmtId="0" fontId="7" fillId="3" borderId="56" xfId="2" applyFont="1" applyFill="1" applyBorder="1" applyAlignment="1">
      <alignment horizontal="center" vertical="center" wrapText="1"/>
    </xf>
    <xf numFmtId="0" fontId="7" fillId="3" borderId="36" xfId="2" applyFont="1" applyFill="1" applyBorder="1" applyAlignment="1">
      <alignment horizontal="center" vertical="center"/>
    </xf>
    <xf numFmtId="0" fontId="4" fillId="6" borderId="37" xfId="2" applyFill="1" applyBorder="1" applyAlignment="1">
      <alignment horizontal="center" vertical="center"/>
    </xf>
    <xf numFmtId="0" fontId="4" fillId="0" borderId="24" xfId="2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4" fillId="0" borderId="57" xfId="2" applyBorder="1" applyAlignment="1">
      <alignment horizontal="center" vertical="center"/>
    </xf>
    <xf numFmtId="0" fontId="4" fillId="0" borderId="60" xfId="2" applyBorder="1" applyAlignment="1">
      <alignment horizontal="center" vertical="center"/>
    </xf>
    <xf numFmtId="0" fontId="4" fillId="0" borderId="59" xfId="2" applyBorder="1" applyAlignment="1">
      <alignment horizontal="center" vertical="center"/>
    </xf>
    <xf numFmtId="0" fontId="7" fillId="11" borderId="6" xfId="2" applyFont="1" applyFill="1" applyBorder="1" applyAlignment="1">
      <alignment horizontal="center" vertical="center"/>
    </xf>
    <xf numFmtId="0" fontId="4" fillId="0" borderId="32" xfId="2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 wrapText="1"/>
    </xf>
    <xf numFmtId="9" fontId="0" fillId="0" borderId="32" xfId="5" applyFon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21" xfId="2" applyBorder="1" applyAlignment="1">
      <alignment horizontal="center" vertical="center"/>
    </xf>
    <xf numFmtId="0" fontId="4" fillId="0" borderId="47" xfId="2" applyBorder="1" applyAlignment="1">
      <alignment horizontal="center" vertical="center"/>
    </xf>
    <xf numFmtId="0" fontId="4" fillId="0" borderId="25" xfId="2" applyBorder="1" applyAlignment="1">
      <alignment horizontal="center" vertical="center"/>
    </xf>
    <xf numFmtId="0" fontId="4" fillId="0" borderId="50" xfId="2" applyBorder="1" applyAlignment="1">
      <alignment horizontal="center" vertical="center"/>
    </xf>
    <xf numFmtId="4" fontId="4" fillId="0" borderId="0" xfId="2" applyNumberFormat="1"/>
    <xf numFmtId="0" fontId="4" fillId="6" borderId="39" xfId="2" applyFill="1" applyBorder="1" applyAlignment="1">
      <alignment horizontal="center" vertical="center"/>
    </xf>
    <xf numFmtId="0" fontId="4" fillId="6" borderId="26" xfId="2" applyFill="1" applyBorder="1" applyAlignment="1">
      <alignment horizontal="center" vertical="center"/>
    </xf>
    <xf numFmtId="0" fontId="4" fillId="0" borderId="26" xfId="2" applyBorder="1" applyAlignment="1">
      <alignment horizontal="center" vertical="center"/>
    </xf>
    <xf numFmtId="0" fontId="4" fillId="0" borderId="28" xfId="2" applyBorder="1" applyAlignment="1">
      <alignment horizontal="center" vertical="center"/>
    </xf>
    <xf numFmtId="0" fontId="6" fillId="8" borderId="6" xfId="2" applyFont="1" applyFill="1" applyBorder="1" applyAlignment="1">
      <alignment horizontal="center" vertical="center" wrapText="1"/>
    </xf>
    <xf numFmtId="0" fontId="6" fillId="0" borderId="31" xfId="2" applyFont="1" applyBorder="1" applyAlignment="1">
      <alignment vertical="center" wrapText="1"/>
    </xf>
    <xf numFmtId="0" fontId="5" fillId="2" borderId="43" xfId="2" applyFont="1" applyFill="1" applyBorder="1" applyAlignment="1">
      <alignment horizontal="center" vertical="center" wrapText="1"/>
    </xf>
    <xf numFmtId="3" fontId="4" fillId="7" borderId="44" xfId="2" applyNumberFormat="1" applyFill="1" applyBorder="1" applyAlignment="1">
      <alignment horizontal="center" vertical="center"/>
    </xf>
    <xf numFmtId="3" fontId="4" fillId="7" borderId="18" xfId="2" applyNumberFormat="1" applyFill="1" applyBorder="1" applyAlignment="1">
      <alignment horizontal="center" vertical="center"/>
    </xf>
    <xf numFmtId="3" fontId="4" fillId="7" borderId="29" xfId="2" applyNumberFormat="1" applyFill="1" applyBorder="1" applyAlignment="1">
      <alignment horizontal="center" vertical="center"/>
    </xf>
    <xf numFmtId="3" fontId="4" fillId="7" borderId="23" xfId="2" applyNumberFormat="1" applyFill="1" applyBorder="1" applyAlignment="1">
      <alignment horizontal="center" vertical="center"/>
    </xf>
    <xf numFmtId="9" fontId="0" fillId="0" borderId="32" xfId="5" applyFont="1" applyBorder="1" applyAlignment="1">
      <alignment horizontal="center" vertical="center" wrapText="1"/>
    </xf>
    <xf numFmtId="0" fontId="6" fillId="8" borderId="10" xfId="2" applyFont="1" applyFill="1" applyBorder="1" applyAlignment="1">
      <alignment vertical="center" wrapText="1"/>
    </xf>
    <xf numFmtId="0" fontId="5" fillId="2" borderId="44" xfId="2" applyFont="1" applyFill="1" applyBorder="1" applyAlignment="1">
      <alignment horizontal="center" vertical="center" wrapText="1"/>
    </xf>
    <xf numFmtId="0" fontId="4" fillId="0" borderId="63" xfId="2" applyBorder="1" applyAlignment="1">
      <alignment horizontal="center" vertical="center"/>
    </xf>
    <xf numFmtId="164" fontId="4" fillId="7" borderId="23" xfId="2" applyNumberFormat="1" applyFill="1" applyBorder="1" applyAlignment="1">
      <alignment horizontal="center" vertical="center"/>
    </xf>
    <xf numFmtId="43" fontId="0" fillId="0" borderId="0" xfId="6" applyFont="1"/>
    <xf numFmtId="0" fontId="4" fillId="6" borderId="0" xfId="2" applyFill="1" applyAlignment="1">
      <alignment horizontal="center" vertical="center"/>
    </xf>
    <xf numFmtId="9" fontId="4" fillId="0" borderId="0" xfId="2" applyNumberFormat="1"/>
    <xf numFmtId="165" fontId="7" fillId="9" borderId="8" xfId="2" applyNumberFormat="1" applyFont="1" applyFill="1" applyBorder="1" applyAlignment="1">
      <alignment horizontal="center" vertical="center"/>
    </xf>
    <xf numFmtId="165" fontId="4" fillId="7" borderId="44" xfId="2" applyNumberFormat="1" applyFill="1" applyBorder="1" applyAlignment="1">
      <alignment horizontal="center" vertical="center"/>
    </xf>
    <xf numFmtId="0" fontId="4" fillId="5" borderId="23" xfId="2" applyFill="1" applyBorder="1" applyAlignment="1">
      <alignment horizontal="center" vertical="center"/>
    </xf>
    <xf numFmtId="166" fontId="4" fillId="0" borderId="23" xfId="2" applyNumberFormat="1" applyBorder="1"/>
    <xf numFmtId="0" fontId="4" fillId="0" borderId="23" xfId="2" applyBorder="1"/>
    <xf numFmtId="1" fontId="4" fillId="0" borderId="0" xfId="2" applyNumberFormat="1"/>
    <xf numFmtId="0" fontId="2" fillId="2" borderId="6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4" fillId="0" borderId="34" xfId="2" applyBorder="1" applyAlignment="1">
      <alignment horizontal="center" vertical="center"/>
    </xf>
    <xf numFmtId="0" fontId="4" fillId="0" borderId="54" xfId="7" applyNumberFormat="1" applyFont="1" applyBorder="1" applyAlignment="1">
      <alignment horizontal="center" vertical="center"/>
    </xf>
    <xf numFmtId="0" fontId="4" fillId="0" borderId="56" xfId="7" applyNumberFormat="1" applyFont="1" applyBorder="1" applyAlignment="1">
      <alignment horizontal="center" vertical="center"/>
    </xf>
    <xf numFmtId="0" fontId="4" fillId="0" borderId="36" xfId="7" applyNumberFormat="1" applyFont="1" applyBorder="1" applyAlignment="1">
      <alignment horizontal="center" vertical="center"/>
    </xf>
    <xf numFmtId="0" fontId="4" fillId="0" borderId="22" xfId="7" applyNumberFormat="1" applyFont="1" applyBorder="1" applyAlignment="1">
      <alignment horizontal="center" vertical="center"/>
    </xf>
    <xf numFmtId="0" fontId="4" fillId="0" borderId="23" xfId="7" applyNumberFormat="1" applyFont="1" applyBorder="1" applyAlignment="1">
      <alignment horizontal="center" vertical="center"/>
    </xf>
    <xf numFmtId="0" fontId="4" fillId="0" borderId="24" xfId="7" applyNumberFormat="1" applyFont="1" applyBorder="1" applyAlignment="1">
      <alignment horizontal="center" vertical="center"/>
    </xf>
    <xf numFmtId="0" fontId="4" fillId="0" borderId="27" xfId="7" applyNumberFormat="1" applyFont="1" applyBorder="1" applyAlignment="1">
      <alignment horizontal="center" vertical="center"/>
    </xf>
    <xf numFmtId="0" fontId="4" fillId="0" borderId="26" xfId="7" applyNumberFormat="1" applyFont="1" applyBorder="1" applyAlignment="1">
      <alignment horizontal="center" vertical="center"/>
    </xf>
    <xf numFmtId="0" fontId="4" fillId="0" borderId="28" xfId="7" applyNumberFormat="1" applyFont="1" applyBorder="1" applyAlignment="1">
      <alignment horizontal="center" vertical="center"/>
    </xf>
    <xf numFmtId="0" fontId="4" fillId="0" borderId="16" xfId="2" applyBorder="1" applyAlignment="1">
      <alignment horizontal="center" vertical="center"/>
    </xf>
    <xf numFmtId="0" fontId="4" fillId="0" borderId="17" xfId="7" applyNumberFormat="1" applyFont="1" applyBorder="1" applyAlignment="1">
      <alignment horizontal="center" vertical="center"/>
    </xf>
    <xf numFmtId="0" fontId="4" fillId="0" borderId="18" xfId="7" applyNumberFormat="1" applyFont="1" applyBorder="1" applyAlignment="1">
      <alignment horizontal="center" vertical="center"/>
    </xf>
    <xf numFmtId="0" fontId="4" fillId="0" borderId="19" xfId="7" applyNumberFormat="1" applyFont="1" applyBorder="1" applyAlignment="1">
      <alignment horizontal="center" vertical="center"/>
    </xf>
    <xf numFmtId="0" fontId="4" fillId="0" borderId="53" xfId="7" applyNumberFormat="1" applyFont="1" applyBorder="1" applyAlignment="1">
      <alignment horizontal="center" vertical="center"/>
    </xf>
    <xf numFmtId="0" fontId="4" fillId="0" borderId="29" xfId="7" applyNumberFormat="1" applyFont="1" applyBorder="1" applyAlignment="1">
      <alignment horizontal="center" vertical="center"/>
    </xf>
    <xf numFmtId="0" fontId="4" fillId="0" borderId="52" xfId="7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4" fillId="0" borderId="35" xfId="7" applyNumberFormat="1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 wrapText="1"/>
    </xf>
    <xf numFmtId="0" fontId="4" fillId="0" borderId="40" xfId="7" applyNumberFormat="1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 wrapText="1"/>
    </xf>
    <xf numFmtId="0" fontId="4" fillId="0" borderId="37" xfId="7" applyNumberFormat="1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 wrapText="1"/>
    </xf>
    <xf numFmtId="0" fontId="4" fillId="0" borderId="39" xfId="7" applyNumberFormat="1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wrapText="1"/>
    </xf>
    <xf numFmtId="0" fontId="2" fillId="0" borderId="42" xfId="2" applyFont="1" applyBorder="1" applyAlignment="1">
      <alignment horizontal="center" vertical="center"/>
    </xf>
    <xf numFmtId="168" fontId="4" fillId="0" borderId="12" xfId="7" applyNumberFormat="1" applyFont="1" applyBorder="1" applyAlignment="1">
      <alignment horizontal="center" vertical="center"/>
    </xf>
    <xf numFmtId="168" fontId="4" fillId="0" borderId="13" xfId="7" applyNumberFormat="1" applyFont="1" applyBorder="1" applyAlignment="1">
      <alignment horizontal="center" vertical="center"/>
    </xf>
    <xf numFmtId="168" fontId="4" fillId="0" borderId="14" xfId="7" applyNumberFormat="1" applyFont="1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4" fillId="0" borderId="0" xfId="2" applyAlignment="1">
      <alignment horizontal="center" vertical="center" wrapText="1"/>
    </xf>
    <xf numFmtId="0" fontId="7" fillId="0" borderId="7" xfId="7" applyNumberFormat="1" applyFont="1" applyBorder="1" applyAlignment="1">
      <alignment horizontal="center" vertical="center"/>
    </xf>
    <xf numFmtId="0" fontId="7" fillId="0" borderId="32" xfId="7" applyNumberFormat="1" applyFont="1" applyBorder="1" applyAlignment="1">
      <alignment horizontal="center" vertical="center"/>
    </xf>
    <xf numFmtId="0" fontId="4" fillId="0" borderId="0" xfId="2" applyAlignment="1">
      <alignment wrapText="1"/>
    </xf>
    <xf numFmtId="9" fontId="0" fillId="0" borderId="8" xfId="5" applyFont="1" applyBorder="1" applyAlignment="1">
      <alignment horizontal="center"/>
    </xf>
    <xf numFmtId="9" fontId="0" fillId="0" borderId="9" xfId="5" applyFont="1" applyBorder="1" applyAlignment="1">
      <alignment horizontal="center"/>
    </xf>
    <xf numFmtId="17" fontId="2" fillId="2" borderId="23" xfId="2" applyNumberFormat="1" applyFont="1" applyFill="1" applyBorder="1" applyAlignment="1">
      <alignment horizontal="center" vertical="center" wrapText="1"/>
    </xf>
    <xf numFmtId="0" fontId="4" fillId="0" borderId="23" xfId="2" applyBorder="1" applyAlignment="1">
      <alignment horizontal="center" vertical="center" wrapText="1"/>
    </xf>
    <xf numFmtId="0" fontId="4" fillId="0" borderId="23" xfId="2" applyBorder="1" applyAlignment="1">
      <alignment horizontal="center"/>
    </xf>
    <xf numFmtId="0" fontId="4" fillId="0" borderId="23" xfId="2" applyBorder="1" applyAlignment="1">
      <alignment wrapText="1"/>
    </xf>
    <xf numFmtId="0" fontId="4" fillId="0" borderId="29" xfId="2" applyBorder="1" applyAlignment="1">
      <alignment horizontal="center"/>
    </xf>
    <xf numFmtId="0" fontId="4" fillId="0" borderId="17" xfId="2" applyBorder="1" applyAlignment="1">
      <alignment horizontal="center" vertical="center"/>
    </xf>
    <xf numFmtId="0" fontId="4" fillId="0" borderId="22" xfId="2" applyBorder="1" applyAlignment="1">
      <alignment horizontal="center" vertical="center"/>
    </xf>
    <xf numFmtId="0" fontId="4" fillId="0" borderId="27" xfId="2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  <xf numFmtId="168" fontId="1" fillId="0" borderId="23" xfId="1" applyNumberFormat="1" applyFont="1" applyFill="1" applyBorder="1" applyAlignment="1">
      <alignment horizontal="left" vertical="center" wrapText="1"/>
    </xf>
    <xf numFmtId="168" fontId="0" fillId="0" borderId="23" xfId="1" applyNumberFormat="1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170" fontId="9" fillId="3" borderId="23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12" borderId="23" xfId="0" applyFont="1" applyFill="1" applyBorder="1" applyAlignment="1">
      <alignment horizontal="left" vertical="center" wrapText="1"/>
    </xf>
    <xf numFmtId="43" fontId="0" fillId="0" borderId="23" xfId="1" applyFont="1" applyFill="1" applyBorder="1" applyAlignment="1">
      <alignment horizontal="left" vertical="center" wrapText="1"/>
    </xf>
    <xf numFmtId="170" fontId="0" fillId="0" borderId="23" xfId="1" applyNumberFormat="1" applyFont="1" applyFill="1" applyBorder="1" applyAlignment="1">
      <alignment horizontal="left" vertical="center" wrapText="1"/>
    </xf>
    <xf numFmtId="0" fontId="0" fillId="13" borderId="23" xfId="0" applyFill="1" applyBorder="1" applyAlignment="1">
      <alignment horizontal="left" vertical="center" wrapText="1"/>
    </xf>
    <xf numFmtId="0" fontId="0" fillId="14" borderId="23" xfId="0" applyFill="1" applyBorder="1" applyAlignment="1">
      <alignment horizontal="left" vertical="center" wrapText="1"/>
    </xf>
    <xf numFmtId="4" fontId="16" fillId="0" borderId="0" xfId="0" applyNumberFormat="1" applyFont="1" applyAlignment="1">
      <alignment wrapText="1"/>
    </xf>
    <xf numFmtId="0" fontId="17" fillId="0" borderId="0" xfId="0" applyFont="1" applyAlignment="1">
      <alignment horizontal="right" vertical="center" wrapText="1" readingOrder="1"/>
    </xf>
    <xf numFmtId="4" fontId="18" fillId="0" borderId="0" xfId="0" applyNumberFormat="1" applyFont="1" applyAlignment="1">
      <alignment wrapText="1"/>
    </xf>
    <xf numFmtId="0" fontId="0" fillId="15" borderId="23" xfId="0" applyFill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170" fontId="2" fillId="0" borderId="23" xfId="0" applyNumberFormat="1" applyFont="1" applyBorder="1" applyAlignment="1">
      <alignment horizontal="center" vertical="center" wrapText="1"/>
    </xf>
    <xf numFmtId="170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wrapText="1"/>
    </xf>
    <xf numFmtId="43" fontId="2" fillId="0" borderId="23" xfId="0" applyNumberFormat="1" applyFont="1" applyBorder="1" applyAlignment="1">
      <alignment wrapText="1"/>
    </xf>
    <xf numFmtId="0" fontId="2" fillId="0" borderId="23" xfId="0" applyFont="1" applyBorder="1" applyAlignment="1">
      <alignment horizontal="right" vertical="center" wrapText="1"/>
    </xf>
    <xf numFmtId="169" fontId="0" fillId="0" borderId="23" xfId="1" applyNumberFormat="1" applyFont="1" applyBorder="1" applyAlignment="1">
      <alignment wrapText="1"/>
    </xf>
    <xf numFmtId="169" fontId="0" fillId="0" borderId="23" xfId="1" applyNumberFormat="1" applyFont="1" applyBorder="1" applyAlignment="1">
      <alignment vertical="center" wrapText="1"/>
    </xf>
    <xf numFmtId="169" fontId="0" fillId="0" borderId="23" xfId="0" applyNumberFormat="1" applyBorder="1" applyAlignment="1">
      <alignment wrapText="1"/>
    </xf>
    <xf numFmtId="169" fontId="9" fillId="0" borderId="23" xfId="0" applyNumberFormat="1" applyFont="1" applyBorder="1" applyAlignment="1">
      <alignment wrapText="1"/>
    </xf>
    <xf numFmtId="169" fontId="0" fillId="0" borderId="0" xfId="0" applyNumberFormat="1" applyAlignment="1">
      <alignment wrapText="1"/>
    </xf>
    <xf numFmtId="0" fontId="19" fillId="0" borderId="0" xfId="9" applyAlignment="1">
      <alignment wrapText="1"/>
    </xf>
    <xf numFmtId="0" fontId="22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9" fillId="0" borderId="11" xfId="9" applyBorder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19" fillId="0" borderId="65" xfId="9" applyBorder="1" applyAlignment="1">
      <alignment horizontal="left" vertical="center" wrapText="1"/>
    </xf>
    <xf numFmtId="0" fontId="22" fillId="2" borderId="32" xfId="0" applyFont="1" applyFill="1" applyBorder="1" applyAlignment="1">
      <alignment horizontal="left" vertical="center" wrapText="1"/>
    </xf>
    <xf numFmtId="0" fontId="19" fillId="0" borderId="6" xfId="9" applyBorder="1" applyAlignment="1">
      <alignment horizontal="left" vertical="center" wrapText="1"/>
    </xf>
    <xf numFmtId="0" fontId="19" fillId="0" borderId="32" xfId="9" applyBorder="1" applyAlignment="1">
      <alignment horizontal="left" vertical="center" wrapText="1"/>
    </xf>
    <xf numFmtId="0" fontId="0" fillId="11" borderId="32" xfId="0" applyFill="1" applyBorder="1" applyAlignment="1">
      <alignment horizontal="left" vertical="center" wrapText="1"/>
    </xf>
    <xf numFmtId="0" fontId="0" fillId="11" borderId="65" xfId="0" applyFill="1" applyBorder="1" applyAlignment="1">
      <alignment horizontal="left" vertical="center" wrapText="1"/>
    </xf>
    <xf numFmtId="0" fontId="19" fillId="11" borderId="65" xfId="9" applyFill="1" applyBorder="1" applyAlignment="1">
      <alignment horizontal="left" vertical="center" wrapText="1"/>
    </xf>
    <xf numFmtId="0" fontId="0" fillId="11" borderId="64" xfId="0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3" fillId="0" borderId="32" xfId="9" applyFont="1" applyBorder="1" applyAlignment="1">
      <alignment horizontal="left" vertical="center" wrapText="1"/>
    </xf>
    <xf numFmtId="0" fontId="19" fillId="0" borderId="10" xfId="9" applyBorder="1" applyAlignment="1">
      <alignment vertical="center" wrapText="1"/>
    </xf>
    <xf numFmtId="0" fontId="19" fillId="0" borderId="32" xfId="9" applyBorder="1" applyAlignment="1">
      <alignment vertical="center" wrapText="1"/>
    </xf>
    <xf numFmtId="0" fontId="23" fillId="0" borderId="11" xfId="9" applyFont="1" applyBorder="1" applyAlignment="1">
      <alignment horizontal="left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60" xfId="2" applyFont="1" applyFill="1" applyBorder="1" applyAlignment="1">
      <alignment horizontal="center" vertical="center" wrapText="1"/>
    </xf>
    <xf numFmtId="0" fontId="7" fillId="10" borderId="38" xfId="2" applyFont="1" applyFill="1" applyBorder="1" applyAlignment="1">
      <alignment horizontal="center" vertical="center"/>
    </xf>
    <xf numFmtId="0" fontId="7" fillId="10" borderId="48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/>
    </xf>
    <xf numFmtId="0" fontId="7" fillId="9" borderId="10" xfId="2" applyFont="1" applyFill="1" applyBorder="1" applyAlignment="1">
      <alignment horizontal="center" vertical="center" wrapText="1"/>
    </xf>
    <xf numFmtId="0" fontId="7" fillId="9" borderId="32" xfId="2" applyFont="1" applyFill="1" applyBorder="1" applyAlignment="1">
      <alignment horizontal="center" vertical="center" wrapText="1"/>
    </xf>
    <xf numFmtId="0" fontId="4" fillId="4" borderId="10" xfId="2" applyFill="1" applyBorder="1" applyAlignment="1">
      <alignment horizontal="center" vertical="center"/>
    </xf>
    <xf numFmtId="0" fontId="4" fillId="4" borderId="32" xfId="2" applyFill="1" applyBorder="1" applyAlignment="1">
      <alignment horizontal="center" vertical="center"/>
    </xf>
    <xf numFmtId="0" fontId="7" fillId="4" borderId="29" xfId="2" applyFont="1" applyFill="1" applyBorder="1" applyAlignment="1">
      <alignment horizontal="center" wrapText="1"/>
    </xf>
    <xf numFmtId="0" fontId="4" fillId="0" borderId="0" xfId="2" applyAlignment="1">
      <alignment horizontal="center"/>
    </xf>
    <xf numFmtId="0" fontId="4" fillId="0" borderId="46" xfId="2" applyBorder="1" applyAlignment="1">
      <alignment horizontal="center"/>
    </xf>
    <xf numFmtId="0" fontId="2" fillId="2" borderId="0" xfId="2" applyFont="1" applyFill="1" applyAlignment="1">
      <alignment horizontal="center" vertical="center" wrapText="1"/>
    </xf>
    <xf numFmtId="0" fontId="2" fillId="2" borderId="46" xfId="2" applyFont="1" applyFill="1" applyBorder="1" applyAlignment="1">
      <alignment horizontal="center" vertical="center" wrapText="1"/>
    </xf>
    <xf numFmtId="17" fontId="2" fillId="2" borderId="0" xfId="2" applyNumberFormat="1" applyFont="1" applyFill="1" applyAlignment="1">
      <alignment horizontal="center" vertical="center" wrapText="1"/>
    </xf>
    <xf numFmtId="17" fontId="2" fillId="2" borderId="46" xfId="2" applyNumberFormat="1" applyFont="1" applyFill="1" applyBorder="1" applyAlignment="1">
      <alignment horizontal="center" vertical="center" wrapText="1"/>
    </xf>
    <xf numFmtId="0" fontId="7" fillId="5" borderId="46" xfId="2" applyFont="1" applyFill="1" applyBorder="1" applyAlignment="1">
      <alignment horizontal="center" vertical="center"/>
    </xf>
    <xf numFmtId="0" fontId="4" fillId="0" borderId="23" xfId="2" applyBorder="1" applyAlignment="1">
      <alignment horizontal="center" textRotation="90"/>
    </xf>
    <xf numFmtId="0" fontId="4" fillId="0" borderId="23" xfId="2" applyBorder="1" applyAlignment="1">
      <alignment horizontal="center" vertical="center" wrapText="1"/>
    </xf>
    <xf numFmtId="0" fontId="4" fillId="0" borderId="29" xfId="2" applyBorder="1" applyAlignment="1">
      <alignment horizontal="center" vertical="center" wrapText="1"/>
    </xf>
    <xf numFmtId="0" fontId="4" fillId="0" borderId="44" xfId="2" applyBorder="1" applyAlignment="1">
      <alignment horizontal="center" vertical="center" wrapText="1"/>
    </xf>
    <xf numFmtId="0" fontId="4" fillId="0" borderId="18" xfId="2" applyBorder="1" applyAlignment="1">
      <alignment horizontal="center" vertical="center" wrapText="1"/>
    </xf>
    <xf numFmtId="0" fontId="7" fillId="8" borderId="23" xfId="2" applyFont="1" applyFill="1" applyBorder="1" applyAlignment="1">
      <alignment horizontal="center" wrapText="1"/>
    </xf>
    <xf numFmtId="0" fontId="7" fillId="3" borderId="23" xfId="2" applyFont="1" applyFill="1" applyBorder="1" applyAlignment="1">
      <alignment horizontal="center" wrapText="1"/>
    </xf>
    <xf numFmtId="0" fontId="4" fillId="0" borderId="23" xfId="2" applyBorder="1" applyAlignment="1">
      <alignment horizontal="center"/>
    </xf>
    <xf numFmtId="0" fontId="4" fillId="0" borderId="38" xfId="2" applyBorder="1" applyAlignment="1">
      <alignment horizontal="center"/>
    </xf>
    <xf numFmtId="0" fontId="2" fillId="2" borderId="10" xfId="2" applyFont="1" applyFill="1" applyBorder="1" applyAlignment="1">
      <alignment horizontal="center" vertical="center" wrapText="1"/>
    </xf>
    <xf numFmtId="0" fontId="2" fillId="2" borderId="31" xfId="2" applyFont="1" applyFill="1" applyBorder="1" applyAlignment="1">
      <alignment horizontal="center" vertical="center" wrapText="1"/>
    </xf>
    <xf numFmtId="0" fontId="2" fillId="4" borderId="10" xfId="2" applyFont="1" applyFill="1" applyBorder="1" applyAlignment="1">
      <alignment horizontal="center" vertical="center" wrapText="1"/>
    </xf>
    <xf numFmtId="0" fontId="2" fillId="4" borderId="31" xfId="2" applyFont="1" applyFill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56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 wrapText="1"/>
    </xf>
    <xf numFmtId="0" fontId="7" fillId="0" borderId="39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wrapText="1"/>
    </xf>
    <xf numFmtId="0" fontId="2" fillId="8" borderId="10" xfId="2" applyFont="1" applyFill="1" applyBorder="1" applyAlignment="1">
      <alignment horizontal="center" vertical="center" wrapText="1"/>
    </xf>
    <xf numFmtId="0" fontId="2" fillId="8" borderId="31" xfId="2" applyFont="1" applyFill="1" applyBorder="1" applyAlignment="1">
      <alignment horizontal="center" vertical="center" wrapText="1"/>
    </xf>
    <xf numFmtId="0" fontId="2" fillId="2" borderId="32" xfId="2" applyFont="1" applyFill="1" applyBorder="1" applyAlignment="1">
      <alignment horizontal="center" vertical="center" wrapText="1"/>
    </xf>
    <xf numFmtId="0" fontId="4" fillId="0" borderId="10" xfId="2" applyBorder="1" applyAlignment="1">
      <alignment horizontal="center" vertical="center" wrapText="1"/>
    </xf>
    <xf numFmtId="0" fontId="4" fillId="0" borderId="31" xfId="2" applyBorder="1" applyAlignment="1">
      <alignment horizontal="center" vertical="center" wrapText="1"/>
    </xf>
    <xf numFmtId="0" fontId="4" fillId="0" borderId="32" xfId="2" applyBorder="1" applyAlignment="1">
      <alignment horizontal="center" vertical="center" wrapText="1"/>
    </xf>
    <xf numFmtId="0" fontId="6" fillId="0" borderId="10" xfId="2" applyFont="1" applyBorder="1" applyAlignment="1">
      <alignment horizontal="center"/>
    </xf>
    <xf numFmtId="0" fontId="6" fillId="0" borderId="31" xfId="2" applyFont="1" applyBorder="1" applyAlignment="1">
      <alignment horizontal="center"/>
    </xf>
    <xf numFmtId="0" fontId="6" fillId="0" borderId="32" xfId="2" applyFont="1" applyBorder="1" applyAlignment="1">
      <alignment horizontal="center"/>
    </xf>
    <xf numFmtId="0" fontId="14" fillId="5" borderId="42" xfId="2" applyFont="1" applyFill="1" applyBorder="1" applyAlignment="1">
      <alignment horizontal="center"/>
    </xf>
    <xf numFmtId="0" fontId="14" fillId="5" borderId="51" xfId="2" applyFont="1" applyFill="1" applyBorder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25" xfId="2" applyFont="1" applyBorder="1" applyAlignment="1">
      <alignment horizontal="center" vertical="center" wrapText="1"/>
    </xf>
    <xf numFmtId="0" fontId="2" fillId="0" borderId="30" xfId="2" applyFont="1" applyBorder="1" applyAlignment="1">
      <alignment horizontal="center" vertical="center" wrapText="1"/>
    </xf>
    <xf numFmtId="0" fontId="2" fillId="0" borderId="6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8" borderId="32" xfId="2" applyFont="1" applyFill="1" applyBorder="1" applyAlignment="1">
      <alignment horizontal="center" vertical="center" wrapText="1"/>
    </xf>
    <xf numFmtId="0" fontId="2" fillId="4" borderId="32" xfId="2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 wrapText="1"/>
    </xf>
    <xf numFmtId="0" fontId="7" fillId="4" borderId="31" xfId="2" applyFont="1" applyFill="1" applyBorder="1" applyAlignment="1">
      <alignment horizontal="center" vertical="center" wrapText="1"/>
    </xf>
    <xf numFmtId="0" fontId="7" fillId="4" borderId="32" xfId="2" applyFont="1" applyFill="1" applyBorder="1" applyAlignment="1">
      <alignment horizontal="center" vertical="center" wrapText="1"/>
    </xf>
    <xf numFmtId="0" fontId="4" fillId="0" borderId="2" xfId="2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4" xfId="2" applyBorder="1" applyAlignment="1">
      <alignment horizontal="center" vertical="center" wrapText="1"/>
    </xf>
    <xf numFmtId="0" fontId="4" fillId="0" borderId="33" xfId="2" applyBorder="1" applyAlignment="1">
      <alignment horizontal="center" vertical="center" wrapText="1"/>
    </xf>
    <xf numFmtId="0" fontId="4" fillId="0" borderId="8" xfId="2" applyBorder="1" applyAlignment="1">
      <alignment horizontal="center" vertical="center" wrapText="1"/>
    </xf>
    <xf numFmtId="0" fontId="21" fillId="12" borderId="0" xfId="0" applyFont="1" applyFill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19" fillId="0" borderId="10" xfId="9" applyBorder="1" applyAlignment="1">
      <alignment horizontal="left" vertical="center" wrapText="1"/>
    </xf>
    <xf numFmtId="0" fontId="19" fillId="0" borderId="31" xfId="9" applyBorder="1" applyAlignment="1">
      <alignment horizontal="left" vertical="center" wrapText="1"/>
    </xf>
    <xf numFmtId="0" fontId="19" fillId="0" borderId="32" xfId="9" applyBorder="1" applyAlignment="1">
      <alignment horizontal="left" vertical="center" wrapText="1"/>
    </xf>
    <xf numFmtId="0" fontId="0" fillId="0" borderId="5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3" fontId="0" fillId="0" borderId="0" xfId="0" applyNumberFormat="1" applyAlignment="1">
      <alignment wrapText="1"/>
    </xf>
    <xf numFmtId="173" fontId="0" fillId="0" borderId="23" xfId="0" applyNumberFormat="1" applyBorder="1" applyAlignment="1">
      <alignment wrapText="1"/>
    </xf>
    <xf numFmtId="173" fontId="2" fillId="0" borderId="23" xfId="0" applyNumberFormat="1" applyFont="1" applyBorder="1" applyAlignment="1">
      <alignment wrapText="1"/>
    </xf>
  </cellXfs>
  <cellStyles count="10">
    <cellStyle name="Comma" xfId="1" builtinId="3"/>
    <cellStyle name="Comma 2" xfId="6" xr:uid="{ABA6F586-23E8-4B67-B32D-55269587F0B4}"/>
    <cellStyle name="Comma 3" xfId="7" xr:uid="{A3ABC72F-B8DE-4B01-92DE-013261AEF88B}"/>
    <cellStyle name="Hyperlink" xfId="9" builtinId="8"/>
    <cellStyle name="Hyperlink 2" xfId="4" xr:uid="{9039FB3B-9811-46DB-995C-68023BA1F7A4}"/>
    <cellStyle name="Normal" xfId="0" builtinId="0"/>
    <cellStyle name="Normal 2" xfId="2" xr:uid="{840DFCF1-1F4B-477E-9A7C-55D771BB3400}"/>
    <cellStyle name="Percent 2" xfId="3" xr:uid="{8F58B572-4475-4EA1-A8C4-DE99F9D0F85B}"/>
    <cellStyle name="Percent 3" xfId="5" xr:uid="{05AC4FEC-B1B3-4125-B4AF-F519D2C4D390}"/>
    <cellStyle name="Standard_BK 0168 Published CER Sheet" xfId="8" xr:uid="{F0016F6E-9D31-4B67-8525-0592D90F7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microsoft.com/office/2017/10/relationships/person" Target="persons/perso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H\Documents\Ivan\1_Consultancy_bussiness\GHG%20Protocol\Calculations%20tools\Stationary_combustion_tool_(Version4-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H/Documents/Ivan/1_Consultancy_bussiness/GHG%20Protocol/Calculations%20tools/Stationary_combustion_tool_(Version4-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H\Documents\Ivan\1_Consultancy_bussiness\GHG%20Protocol\Calculations%20tools\Copia%20de%20Transport_Tool_v2_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_listing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_listing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 - Lookup and Unit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ANAK MAHESH - MLDL" id="{561484F9-DE37-445E-B005-31FB236B198D}" userId="S::23257081@mahindra.com::b1b0ad06-5490-482b-9d14-0ae37b48d43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18FF6136-0898-4ED8-A844-99C363AAB9E7}">
    <text>used conversion factor of 1kg = 1.1 litre oil</text>
  </threadedComment>
  <threadedComment ref="H42" dT="2021-05-04T15:04:53.20" personId="{561484F9-DE37-445E-B005-31FB236B198D}" id="{EF16B7A8-43DE-4D2C-ABB1-C796185036B3}">
    <text>Assumed 50% as food waste of the bio-degradable waste</text>
  </threadedComment>
  <threadedComment ref="D55" dT="2021-05-04T14:48:48.10" personId="{561484F9-DE37-445E-B005-31FB236B198D}" id="{88A2D9F7-B8A1-46BF-B87C-47648A3D9818}">
    <text>1 cu. m = 1620 kg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3576E76F-6619-497A-A228-B5343724287A}">
    <text>used conversion factor of 1kg = 1.1 litre oil</text>
  </threadedComment>
  <threadedComment ref="D42" dT="2023-05-30T15:33:19.18" personId="{561484F9-DE37-445E-B005-31FB236B198D}" id="{21FD1D32-1D40-4AA3-935D-F55267E8F65D}">
    <text>50% is reused onsite for land levelling and remaining is sent to dumping ground</text>
  </threadedComment>
  <threadedComment ref="H42" dT="2021-05-04T15:04:53.20" personId="{561484F9-DE37-445E-B005-31FB236B198D}" id="{C946661F-9D3C-49FF-BEA6-E8F7CED50389}">
    <text>Assumed 50% as food waste of the bio-degradable waste</text>
  </threadedComment>
  <threadedComment ref="D56" dT="2021-05-04T14:48:48.10" personId="{561484F9-DE37-445E-B005-31FB236B198D}" id="{1DE07B44-1271-4F02-BFBB-5E034D4AD0BB}">
    <text>1 cu. m = 1620 kg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BBC26990-2B27-41A7-9B5D-8E45A919C64B}">
    <text>used conversion factor of 1kg = 1.1 litre oil</text>
  </threadedComment>
  <threadedComment ref="H42" dT="2021-05-04T15:04:53.20" personId="{561484F9-DE37-445E-B005-31FB236B198D}" id="{D20A72DC-49BB-45F8-AB57-7F4694EF09BC}">
    <text>Assumed 50% as food waste of the bio-degradable waste</text>
  </threadedComment>
  <threadedComment ref="D55" dT="2021-05-04T14:48:48.10" personId="{561484F9-DE37-445E-B005-31FB236B198D}" id="{F96BB74B-73F8-42D1-8CC0-1BC750390900}">
    <text>1 cu. m = 1620 kg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729195EA-39BB-4C33-B9B5-D65912271170}">
    <text>used conversion factor of 1kg = 1.1 litre oil</text>
  </threadedComment>
  <threadedComment ref="D42" dT="2023-05-30T15:34:33.15" personId="{561484F9-DE37-445E-B005-31FB236B198D}" id="{0EBD78BC-2025-47C1-BBE0-4787BB7D4205}">
    <text>50% is landfilled and 50% is reused onsite for land levelling</text>
  </threadedComment>
  <threadedComment ref="H42" dT="2021-05-04T15:04:53.20" personId="{561484F9-DE37-445E-B005-31FB236B198D}" id="{D1F17D43-5978-434C-8D60-D81358D2EAF0}">
    <text>Assumed 50% as food waste of the bio-degradable waste</text>
  </threadedComment>
  <threadedComment ref="D56" dT="2021-05-04T14:48:48.10" personId="{561484F9-DE37-445E-B005-31FB236B198D}" id="{D6CD8D74-C54F-4894-A2B5-BCA2C47CC43D}">
    <text>1 cu. m = 1620 kg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6C34258C-2D6F-4B1C-B269-14F9C0C0FD4C}">
    <text>used conversion factor of 1kg = 1.1 litre oil</text>
  </threadedComment>
  <threadedComment ref="H42" dT="2021-05-04T15:04:53.20" personId="{561484F9-DE37-445E-B005-31FB236B198D}" id="{038957A2-9446-4CD7-B7D6-B78FE6007B3A}">
    <text>Assumed 50% as food waste of the bio-degradable waste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FDEE2163-257B-47DE-89FD-0C9735E5BF14}">
    <text>used conversion factor of 1kg = 1.1 litre oil</text>
  </threadedComment>
  <threadedComment ref="H42" dT="2021-05-04T15:04:53.20" personId="{561484F9-DE37-445E-B005-31FB236B198D}" id="{04228DDA-CE0C-4F7C-8162-2227E2AF42C5}">
    <text>Assumed 30% as food waste of the bio-degradable waste</text>
  </threadedComment>
  <threadedComment ref="D55" dT="2021-05-04T14:48:48.10" personId="{561484F9-DE37-445E-B005-31FB236B198D}" id="{10021D9F-2BAF-4706-B170-A6AF0A85EABD}">
    <text>1 cu. m = 1620 kg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D34" dT="2021-05-04T14:45:56.98" personId="{561484F9-DE37-445E-B005-31FB236B198D}" id="{CA1F5936-1A5D-47CF-87EB-1E80E5B1321F}">
    <text>used conversion factor of 1kg = 1.1 litre oil</text>
  </threadedComment>
  <threadedComment ref="H43" dT="2021-05-04T15:04:53.20" personId="{561484F9-DE37-445E-B005-31FB236B198D}" id="{D25DFD0F-36D3-4DE6-B685-AF6C15740937}">
    <text>Assumed 50% as food waste of the bio-degradable waste</text>
  </threadedComment>
  <threadedComment ref="D44" dT="2023-05-30T15:44:51.60" personId="{561484F9-DE37-445E-B005-31FB236B198D}" id="{D0E9211B-B9E3-4DF2-B48F-5ED0B440E0DB}">
    <text>50% reused on site for land levelling and 50% sent to landfill</text>
  </threadedComment>
  <threadedComment ref="D49" dT="2023-05-30T15:45:33.89" personId="{561484F9-DE37-445E-B005-31FB236B198D}" id="{55400CEF-1D2A-43A4-8CA0-4D0121548FD5}">
    <text>50% reused on site for land levelling and 50% landfilled</text>
  </threadedComment>
  <threadedComment ref="D57" dT="2023-05-30T15:44:37.86" personId="{561484F9-DE37-445E-B005-31FB236B198D}" id="{0D61F481-9E88-4A53-A787-C5D525ED7CD5}">
    <text>70% reused on site for land levelling and 30% sent to landfill</text>
  </threadedComment>
  <threadedComment ref="D61" dT="2021-05-04T14:48:48.10" personId="{561484F9-DE37-445E-B005-31FB236B198D}" id="{2BBC1119-1607-479F-8F2F-49BB222CC940}">
    <text>1 cu. m = 1620 kg
50% reused on site for land levelling and 50% sent to landfill</text>
  </threadedComment>
  <threadedComment ref="D62" dT="2021-05-04T14:48:48.10" personId="{561484F9-DE37-445E-B005-31FB236B198D}" id="{A441B8CE-723F-4227-A280-476D6D6C48FC}">
    <text>1 cu. m = 1620 kg</text>
  </threadedComment>
</ThreadedComments>
</file>

<file path=xl/threadedComments/threadedComment16.xml><?xml version="1.0" encoding="utf-8"?>
<ThreadedComments xmlns="http://schemas.microsoft.com/office/spreadsheetml/2018/threadedcomments" xmlns:x="http://schemas.openxmlformats.org/spreadsheetml/2006/main">
  <threadedComment ref="D34" dT="2021-05-04T14:45:56.98" personId="{561484F9-DE37-445E-B005-31FB236B198D}" id="{016C2AEB-B738-44BB-92D0-FA999D57D1D5}">
    <text>used conversion factor of 1kg = 1.1 litre oil</text>
  </threadedComment>
  <threadedComment ref="H43" dT="2021-05-04T15:04:53.20" personId="{561484F9-DE37-445E-B005-31FB236B198D}" id="{2AECCBD3-BE78-491F-966D-F507132328B0}">
    <text>Assumed 50% as food waste of the bio-degradable waste</text>
  </threadedComment>
  <threadedComment ref="D47" dT="2023-05-30T15:39:20.00" personId="{561484F9-DE37-445E-B005-31FB236B198D}" id="{5D0614F8-0081-4E96-8816-4A10C7B9E6E2}">
    <text>90% debris sent to MCGM authorized sites for land levelling</text>
  </threadedComment>
  <threadedComment ref="D58" dT="2021-05-04T14:48:48.10" personId="{561484F9-DE37-445E-B005-31FB236B198D}" id="{85AFF72A-7AE1-4E80-9C3D-191EB0EC3CEB}">
    <text>1 cu. m = 1620 kg</text>
  </threadedComment>
</ThreadedComments>
</file>

<file path=xl/threadedComments/threadedComment17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308BFA98-5389-49F7-A542-00CD1D7E939D}">
    <text>used conversion factor of 1kg = 1.1 litre oil</text>
  </threadedComment>
  <threadedComment ref="D42" dT="2023-05-30T15:40:43.57" personId="{561484F9-DE37-445E-B005-31FB236B198D}" id="{77150537-8DA1-4890-A2C8-FA16F97A874B}">
    <text>50% landfilled and 50% reused on site for land levelling</text>
  </threadedComment>
  <threadedComment ref="H42" dT="2021-05-04T15:04:53.20" personId="{561484F9-DE37-445E-B005-31FB236B198D}" id="{C9A3420A-D09E-46C3-985C-BB200661F22A}">
    <text>Assumed 50% as food waste of the bio-degradable waste</text>
  </threadedComment>
  <threadedComment ref="D54" dT="2023-05-30T15:41:31.65" personId="{561484F9-DE37-445E-B005-31FB236B198D}" id="{7483BA42-B7EB-4255-ACED-F0E2638E7515}">
    <text>70% scrap tiles reused within the site and 30% sent to landfill</text>
  </threadedComment>
  <threadedComment ref="D57" dT="2021-05-04T14:48:48.10" personId="{561484F9-DE37-445E-B005-31FB236B198D}" id="{D93855F3-DE1E-42AC-A52E-BBB714FAA988}">
    <text>1 cu. m = 1620 kg</text>
  </threadedComment>
</ThreadedComments>
</file>

<file path=xl/threadedComments/threadedComment18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B9320507-B196-4BF2-8C03-FF3DA5CD951E}">
    <text>used conversion factor of 1kg = 1.1 litre oil</text>
  </threadedComment>
  <threadedComment ref="H42" dT="2021-05-04T15:04:53.20" personId="{561484F9-DE37-445E-B005-31FB236B198D}" id="{40E20931-8880-4016-9589-5C31E23A58B7}">
    <text>Assumed 30% as food waste of the bio-degradable waste</text>
  </threadedComment>
  <threadedComment ref="D55" dT="2021-05-04T14:48:48.10" personId="{561484F9-DE37-445E-B005-31FB236B198D}" id="{3F2D5C20-0B5B-4B3A-9B76-997538126659}">
    <text>1 cu. m = 1620 kg</text>
  </threadedComment>
</ThreadedComments>
</file>

<file path=xl/threadedComments/threadedComment19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B7B736D1-E613-48D6-97F4-0C146B9FB888}">
    <text>used conversion factor of 1kg = 1.1 litre oil</text>
  </threadedComment>
  <threadedComment ref="D42" dT="2023-05-30T15:40:43.57" personId="{561484F9-DE37-445E-B005-31FB236B198D}" id="{019696AB-3737-42BB-9010-E5EC0CA0AF31}">
    <text>50% landfilled and 50% reused on site for land levelling</text>
  </threadedComment>
  <threadedComment ref="H42" dT="2021-05-04T15:04:53.20" personId="{561484F9-DE37-445E-B005-31FB236B198D}" id="{6CFD04EB-9AA4-4767-8B04-A6B344489D00}">
    <text>Assumed 50% as food waste of the bio-degradable waste</text>
  </threadedComment>
  <threadedComment ref="D54" dT="2023-05-30T15:41:31.65" personId="{561484F9-DE37-445E-B005-31FB236B198D}" id="{7024357E-1FED-404B-ABA8-D1A419A94224}">
    <text>70% scrap tiles reused within the site and 30% sent to landfill</text>
  </threadedComment>
  <threadedComment ref="D57" dT="2021-05-04T14:48:48.10" personId="{561484F9-DE37-445E-B005-31FB236B198D}" id="{A10CE494-D802-4201-A878-FF8A4C9A9C43}">
    <text>1 cu. m = 1620 kg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95AD7DBD-3354-4FB9-A938-696C4475DDA7}">
    <text>used conversion factor of 1kg = 1.1 litre oil</text>
  </threadedComment>
  <threadedComment ref="H42" dT="2021-05-04T15:04:53.20" personId="{561484F9-DE37-445E-B005-31FB236B198D}" id="{696E6BA9-D37F-4A1F-958F-1F4D68ADC4EB}">
    <text>Assumed 50% as food waste of the bio-degradable waste</text>
  </threadedComment>
  <threadedComment ref="D55" dT="2021-05-04T14:48:48.10" personId="{561484F9-DE37-445E-B005-31FB236B198D}" id="{169BECB5-7E6A-47DE-A129-FFF688986C06}">
    <text>1 cu. m = 1620 kg</text>
  </threadedComment>
</ThreadedComments>
</file>

<file path=xl/threadedComments/threadedComment20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DBE03280-EBAA-45C0-B753-B029FCAAD412}">
    <text>used conversion factor of 1kg = 1.1 litre oil</text>
  </threadedComment>
  <threadedComment ref="D42" dT="2023-05-30T15:40:43.57" personId="{561484F9-DE37-445E-B005-31FB236B198D}" id="{57FAF4A1-2506-40FB-B777-22FB74DB4E82}">
    <text>50% landfilled and 50% reused on site for land levelling</text>
  </threadedComment>
  <threadedComment ref="H42" dT="2021-05-04T15:04:53.20" personId="{561484F9-DE37-445E-B005-31FB236B198D}" id="{CC3A58B7-75CF-42D3-8E38-02E19C2A65C6}">
    <text>Assumed 50% as food waste of the bio-degradable waste</text>
  </threadedComment>
  <threadedComment ref="D54" dT="2023-05-30T15:41:31.65" personId="{561484F9-DE37-445E-B005-31FB236B198D}" id="{A874A149-1941-4B1E-BCD6-6C99D8F990E8}">
    <text>70% scrap tiles reused within the site and 30% sent to landfill</text>
  </threadedComment>
  <threadedComment ref="D57" dT="2021-05-04T14:48:48.10" personId="{561484F9-DE37-445E-B005-31FB236B198D}" id="{C9B5A199-19AD-4700-9573-3BB0B804401E}">
    <text>1 cu. m = 1620 kg</text>
  </threadedComment>
</ThreadedComments>
</file>

<file path=xl/threadedComments/threadedComment21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5986F710-E907-413B-8796-51679A8D3E47}">
    <text>used conversion factor of 1kg = 1.1 litre oil</text>
  </threadedComment>
  <threadedComment ref="D42" dT="2023-05-30T15:40:43.57" personId="{561484F9-DE37-445E-B005-31FB236B198D}" id="{10C91A86-BC85-4761-95D1-E848E033CA48}">
    <text>50% landfilled and 50% reused on site for land levelling</text>
  </threadedComment>
  <threadedComment ref="H42" dT="2021-05-04T15:04:53.20" personId="{561484F9-DE37-445E-B005-31FB236B198D}" id="{4650870B-B87E-445B-8902-4076B1AF1A19}">
    <text>Assumed 50% as food waste of the bio-degradable waste</text>
  </threadedComment>
  <threadedComment ref="D54" dT="2023-05-30T15:41:31.65" personId="{561484F9-DE37-445E-B005-31FB236B198D}" id="{C397CAE7-E929-40AD-B78B-CBA22523A49A}">
    <text>70% scrap tiles reused within the site and 30% sent to landfill</text>
  </threadedComment>
  <threadedComment ref="D57" dT="2021-05-04T14:48:48.10" personId="{561484F9-DE37-445E-B005-31FB236B198D}" id="{F9178AFF-D7F7-4043-A0BE-2FD850B007FF}">
    <text>1 cu. m = 1620 kg</text>
  </threadedComment>
</ThreadedComments>
</file>

<file path=xl/threadedComments/threadedComment22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64CD9A27-27E8-4694-8942-A239B82BA76D}">
    <text>used conversion factor of 1kg = 1.1 litre oil</text>
  </threadedComment>
  <threadedComment ref="D42" dT="2023-05-30T15:40:43.57" personId="{561484F9-DE37-445E-B005-31FB236B198D}" id="{D023B311-FEDC-4609-9419-4664E7A3BCF0}">
    <text>50% landfilled and 50% reused on site for land levelling</text>
  </threadedComment>
  <threadedComment ref="H42" dT="2021-05-04T15:04:53.20" personId="{561484F9-DE37-445E-B005-31FB236B198D}" id="{4AB1C1EA-5DF1-4B0C-9EC4-FC4F867371FE}">
    <text>Assumed 50% as food waste of the bio-degradable waste</text>
  </threadedComment>
  <threadedComment ref="D54" dT="2023-05-30T15:41:31.65" personId="{561484F9-DE37-445E-B005-31FB236B198D}" id="{B1B77380-7CA1-4B25-884F-F7388A0379BC}">
    <text>70% scrap tiles reused within the site and 30% sent to landfill</text>
  </threadedComment>
  <threadedComment ref="D57" dT="2021-05-04T14:48:48.10" personId="{561484F9-DE37-445E-B005-31FB236B198D}" id="{DBE6E7F9-7BE9-4685-9918-CA2496BC78C5}">
    <text>1 cu. m = 1620 kg</text>
  </threadedComment>
</ThreadedComments>
</file>

<file path=xl/threadedComments/threadedComment23.xml><?xml version="1.0" encoding="utf-8"?>
<ThreadedComments xmlns="http://schemas.microsoft.com/office/spreadsheetml/2018/threadedcomments" xmlns:x="http://schemas.openxmlformats.org/spreadsheetml/2006/main">
  <threadedComment ref="C3" dT="2021-03-31T08:35:58.79" personId="{00000000-0000-0000-0000-000000000000}" id="{CDE514E5-ACBC-41AC-8FFE-A83C4D84A0C8}">
    <text>low value plastics</text>
  </threadedComment>
  <threadedComment ref="O19" dT="2022-05-19T03:26:54.46" personId="{561484F9-DE37-445E-B005-31FB236B198D}" id="{8D525F7E-68D8-4BC0-B2F3-186D507F10E5}">
    <text>619 litres of used diesel = 619 * 0.83 = 513.77
density of diesel = 0.83 kg/litre</text>
  </threadedComment>
  <threadedComment ref="D31" dT="2021-05-05T11:07:23.07" personId="{561484F9-DE37-445E-B005-31FB236B198D}" id="{FF7DF073-F789-443D-8028-7D89A0C8B62E}">
    <text>This is entire municipal waste as it was sent to municipality from Apr 2022 to Mar 2023 and hence included all the waste and not just paper, plastic</text>
  </threadedComment>
</ThreadedComments>
</file>

<file path=xl/threadedComments/threadedComment24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DD47B6C6-A47C-43F3-BEE9-E015CEF4AA56}">
    <text>used conversion factor of 1kg = 1.1 litre oil</text>
  </threadedComment>
  <threadedComment ref="D42" dT="2023-05-30T15:40:43.57" personId="{561484F9-DE37-445E-B005-31FB236B198D}" id="{A7AA29CD-1CD4-4B33-BD39-060C5B298168}">
    <text>50% landfilled and 50% reused on site for land levelling</text>
  </threadedComment>
  <threadedComment ref="H42" dT="2021-05-04T15:04:53.20" personId="{561484F9-DE37-445E-B005-31FB236B198D}" id="{7AE94E1A-7046-4D7A-A71A-66BCB80D5FB8}">
    <text>Assumed 50% as food waste of the bio-degradable waste</text>
  </threadedComment>
  <threadedComment ref="D54" dT="2023-05-30T15:41:31.65" personId="{561484F9-DE37-445E-B005-31FB236B198D}" id="{019B8FB8-A5AD-4B17-81F8-44A49FCF2EB0}">
    <text>70% scrap tiles reused within the site and 30% sent to landfill</text>
  </threadedComment>
  <threadedComment ref="D57" dT="2021-05-04T14:48:48.10" personId="{561484F9-DE37-445E-B005-31FB236B198D}" id="{846DAD16-8955-491D-B2C0-17560FAFEDBB}">
    <text>1 cu. m = 1620 kg</text>
  </threadedComment>
</ThreadedComments>
</file>

<file path=xl/threadedComments/threadedComment25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AB9EEF26-6152-45E0-B0D9-C55E058AE037}">
    <text>used conversion factor of 1kg = 1.1 litre oil</text>
  </threadedComment>
  <threadedComment ref="H42" dT="2021-05-04T15:04:53.20" personId="{561484F9-DE37-445E-B005-31FB236B198D}" id="{3372DA25-5CA7-40DE-9EE4-3B0389D3DFF4}">
    <text>Assumed 50% as food waste of the bio-degradable waste</text>
  </threadedComment>
  <threadedComment ref="D55" dT="2021-05-04T14:48:48.10" personId="{561484F9-DE37-445E-B005-31FB236B198D}" id="{6DDB80FF-468B-4824-A8FA-BA105062D3DB}">
    <text>1 cu. m = 1620 kg</text>
  </threadedComment>
</ThreadedComments>
</file>

<file path=xl/threadedComments/threadedComment26.xml><?xml version="1.0" encoding="utf-8"?>
<ThreadedComments xmlns="http://schemas.microsoft.com/office/spreadsheetml/2018/threadedcomments" xmlns:x="http://schemas.openxmlformats.org/spreadsheetml/2006/main">
  <threadedComment ref="F38" dT="2025-05-18T12:03:46.31" personId="{561484F9-DE37-445E-B005-31FB236B198D}" id="{3102B611-6DF7-4E09-87B1-3D7C136676E8}">
    <text>Conventional Method ​
Manpower per floor = 06 nos. x 05 days = 30 Man days ​
Cost per floor = 30 Mandays x 600 Rs. = Rs. 18000/-​
HK2 Total Cost = 18000 x 94 Floors = Rs. 16,92,000​
Manual Hydraulic Forklift ​
Total manpower per floor = 04 nos. x 3 days = 12 days​
Cost per floor = 12 Mandays x 600 Rs. = Rs. 7,200/-​
HK2 Total Cost = 7,200 x 94 Floors = Rs. 6,76,800​</text>
  </threadedComment>
  <threadedComment ref="I38" dT="2025-05-18T12:04:15.95" personId="{561484F9-DE37-445E-B005-31FB236B198D}" id="{196F0D0A-6EC9-4E77-9680-008EFBC9EAB8}">
    <text xml:space="preserve">As manual loading and unloading is reduced from 6 times to 3 times, wastage is also reduced by half. ​
Blocks wasted per floor: 56/2 = 28 nos.​
​
Blocks saving from getting damaged per floor = 56 – 28 = 28 nos.​
Total Blocks saving in HK2 = 28 x 94 Floors = 2632 Nos.​
​
Per block weight = 20 kg
Cost saving per floor = 18,000 – 7,200 = Rs. 10,800/-​
Total cost saving in HK2 = 10,800 X 94 Floors = Rs. 10,15,200​
</text>
  </threadedComment>
  <threadedComment ref="H80" dT="2024-06-09T03:56:32.99" personId="{561484F9-DE37-445E-B005-31FB236B198D}" id="{442D2089-D3A3-48E4-A80C-16EAA0AE1BE7}">
    <text>Gigatonnes (GT)</text>
  </threadedComment>
  <threadedComment ref="I81" dT="2025-04-05T05:57:50.59" personId="{561484F9-DE37-445E-B005-31FB236B198D}" id="{91132440-0752-4E07-B34B-614F557B662C}">
    <text>40% compost generated per kg and ₹75 per kg of compost in the market</text>
  </threadedComment>
  <threadedComment ref="H93" dT="2024-06-09T03:56:32.99" personId="{561484F9-DE37-445E-B005-31FB236B198D}" id="{E3BFCBA8-13D9-4090-8F95-96CC2B54A65D}">
    <text>Gigatonnes (GT)</text>
  </threadedComment>
  <threadedComment ref="H94" dT="2024-06-09T03:56:32.99" personId="{561484F9-DE37-445E-B005-31FB236B198D}" id="{981E1A45-A98D-43EB-8903-80528AFACFA8}">
    <text>Gigatonnes (GT)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96D3BD53-29C3-440B-A6AB-7F5B9F23822F}">
    <text>used conversion factor of 1kg = 1.1 litre oil</text>
  </threadedComment>
  <threadedComment ref="D42" dT="2023-05-30T15:15:04.51" personId="{561484F9-DE37-445E-B005-31FB236B198D}" id="{8CEBB324-8B8E-4F10-BB4B-1A372967FEE9}">
    <text>50% is reused for land levelling onsite and remaining sent to landfill</text>
  </threadedComment>
  <threadedComment ref="H42" dT="2021-05-04T15:04:53.20" personId="{561484F9-DE37-445E-B005-31FB236B198D}" id="{F0C09963-11FF-4F0A-8E43-22635F5A4D4B}">
    <text>Assumed 50% as food waste of the bio-degradable waste</text>
  </threadedComment>
  <threadedComment ref="D43" dT="2023-05-30T15:15:04.51" personId="{561484F9-DE37-445E-B005-31FB236B198D}" id="{A97038E5-893C-4238-98C2-9B2C5DC91309}">
    <text>50% is reused for land levelling onsite and remaining sent to landfill</text>
  </threadedComment>
  <threadedComment ref="D56" dT="2021-05-04T14:48:48.10" personId="{561484F9-DE37-445E-B005-31FB236B198D}" id="{86164134-AB69-473C-967F-D866735F9CEA}">
    <text>1 cu. m = 1620 kg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44CB72E8-8753-4419-A353-13DF45F09747}">
    <text>used conversion factor of 1kg = 1.1 litre oil</text>
  </threadedComment>
  <threadedComment ref="H42" dT="2021-05-04T15:04:53.20" personId="{561484F9-DE37-445E-B005-31FB236B198D}" id="{317D4E2A-C605-48DE-AA5A-F9765667DFC8}">
    <text>Assumed 50% as food waste of the bio-degradable waste</text>
  </threadedComment>
  <threadedComment ref="D55" dT="2021-05-04T14:48:48.10" personId="{561484F9-DE37-445E-B005-31FB236B198D}" id="{452A1FD0-A236-4EE0-97AB-6027C3F2C14E}">
    <text>1 cu. m = 1620 kg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58BFA8ED-1312-44BC-9339-1CCB0BB07EA3}">
    <text>used conversion factor of 1kg = 1.1 litre oil</text>
  </threadedComment>
  <threadedComment ref="H42" dT="2021-05-04T15:04:53.20" personId="{561484F9-DE37-445E-B005-31FB236B198D}" id="{99AB47CC-D4EE-4356-BF2E-B3DAA1E67FDE}">
    <text>Assumed 50% as food waste of the bio-degradable waste</text>
  </threadedComment>
  <threadedComment ref="D55" dT="2021-05-04T14:48:48.10" personId="{561484F9-DE37-445E-B005-31FB236B198D}" id="{6ED053B4-5116-4939-813D-9262AA88D3F5}">
    <text>1 cu. m = 1620 kg
50% of soil is landfilled and remaining 50% is reused on site for land levelling</text>
  </threadedComment>
  <threadedComment ref="D56" dT="2021-05-04T14:48:48.10" personId="{561484F9-DE37-445E-B005-31FB236B198D}" id="{0C0BE564-E80A-48A2-9DC6-6301E93DD696}">
    <text>1 cu. m = 1620 kg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0F32CDEA-14CC-42BC-B5A2-F6A0FED3DF1A}">
    <text>used conversion factor of 1kg = 1.1 litre oil</text>
  </threadedComment>
  <threadedComment ref="H42" dT="2021-05-04T15:04:53.20" personId="{561484F9-DE37-445E-B005-31FB236B198D}" id="{B124A046-9A29-40CE-AE1C-5A0BC7C6B786}">
    <text>Assumed 50% as food waste of the bio-degradable waste</text>
  </threadedComment>
  <threadedComment ref="D46" dT="2023-05-30T15:25:50.37" personId="{561484F9-DE37-445E-B005-31FB236B198D}" id="{9DFE949D-53B5-49E9-BEAD-5C8A26881F78}">
    <text>50% of debris is reused on site for land levelling</text>
  </threadedComment>
  <threadedComment ref="D56" dT="2021-05-04T14:48:48.10" personId="{561484F9-DE37-445E-B005-31FB236B198D}" id="{D3EE6487-2453-43E9-B104-760C5C3DCB79}">
    <text>1 cu. m = 1620 kg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D34" dT="2021-05-04T14:45:56.98" personId="{561484F9-DE37-445E-B005-31FB236B198D}" id="{2163042E-51DE-4D84-864D-F722783EF931}">
    <text>used conversion factor of 1kg = 1.1 litre oil</text>
  </threadedComment>
  <threadedComment ref="H43" dT="2021-05-04T15:04:53.20" personId="{561484F9-DE37-445E-B005-31FB236B198D}" id="{CA183F56-3BC7-458C-82B9-E33598D0F1F5}">
    <text>Assumed 50% as food waste of the bio-degradable waste</text>
  </threadedComment>
  <threadedComment ref="D47" dT="2023-05-30T15:39:20.00" personId="{561484F9-DE37-445E-B005-31FB236B198D}" id="{EA1CAB60-5D5D-43A3-8FC0-633D2480D65C}">
    <text>90% debris sent to MCGM authorized sites for land levelling</text>
  </threadedComment>
  <threadedComment ref="D58" dT="2021-05-04T14:48:48.10" personId="{561484F9-DE37-445E-B005-31FB236B198D}" id="{BD64E4FC-D7EB-4ABC-A0FF-D2AF79B344DB}">
    <text>1 cu. m = 1620 kg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365D04D8-7672-421E-9BFF-6E8DEE9B5DC0}">
    <text>used conversion factor of 1kg = 1.1 litre oil</text>
  </threadedComment>
  <threadedComment ref="H42" dT="2021-05-04T15:04:53.20" personId="{561484F9-DE37-445E-B005-31FB236B198D}" id="{9ACD34BF-BB10-4C66-8736-27720413B24E}">
    <text>Assumed 50% as food waste of the bio-degradable waste</text>
  </threadedComment>
  <threadedComment ref="D55" dT="2021-05-04T14:48:48.10" personId="{561484F9-DE37-445E-B005-31FB236B198D}" id="{108A863D-3256-493B-B948-9C57D4841677}">
    <text>1 cu. m = 1620 kg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D33" dT="2021-05-04T14:45:56.98" personId="{561484F9-DE37-445E-B005-31FB236B198D}" id="{C353CDEB-8577-45C2-95E4-27FA0F31F6EB}">
    <text>used conversion factor of 1kg = 1.1 litre oil</text>
  </threadedComment>
  <threadedComment ref="D42" dT="2021-05-19T10:14:18.70" personId="{561484F9-DE37-445E-B005-31FB236B198D}" id="{6C840545-33A0-452A-8C5E-334304771958}">
    <text>50% is reused</text>
  </threadedComment>
  <threadedComment ref="H42" dT="2021-05-04T15:04:53.20" personId="{561484F9-DE37-445E-B005-31FB236B198D}" id="{D14F95EF-487B-43F9-A40A-4B798698D5B0}">
    <text>Assumed 50% as food waste of the bio-degradable waste</text>
  </threadedComment>
  <threadedComment ref="D55" dT="2021-05-04T14:48:48.10" personId="{561484F9-DE37-445E-B005-31FB236B198D}" id="{5EDE21D7-8D1F-4381-AD32-901E341BCF21}">
    <text>1 cu. m = 1620 kg and 50% is reused
50% is reused on site for land levelling</text>
  </threadedComment>
  <threadedComment ref="D56" dT="2021-05-04T14:48:48.10" personId="{561484F9-DE37-445E-B005-31FB236B198D}" id="{26504063-1FFF-4570-A848-FD2E7F2203F1}">
    <text>1 cu. m = 1620 kg and 50% is reused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cpcb.nic.in/uploads/MSW/Waste_generation_Composition.pdf" TargetMode="External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0.xml"/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1.xml"/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hyperlink" Target="https://cpcb.nic.in/uploads/MSW/Waste_generation_Composition.pdf" TargetMode="External"/><Relationship Id="rId4" Type="http://schemas.microsoft.com/office/2017/10/relationships/threadedComment" Target="../threadedComments/threadedComment12.xml"/></Relationships>
</file>

<file path=xl/worksheets/_rels/sheet1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3.xml"/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4.xml"/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5.xml"/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hyperlink" Target="https://cpcb.nic.in/uploads/MSW/Waste_generation_Composition.pdf" TargetMode="External"/><Relationship Id="rId4" Type="http://schemas.microsoft.com/office/2017/10/relationships/threadedComment" Target="../threadedComments/threadedComment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hyperlink" Target="https://cpcb.nic.in/uploads/MSW/Waste_generation_Composition.pdf" TargetMode="External"/><Relationship Id="rId4" Type="http://schemas.microsoft.com/office/2017/10/relationships/threadedComment" Target="../threadedComments/threadedComment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hyperlink" Target="https://cpcb.nic.in/uploads/MSW/Waste_generation_Composition.pdf" TargetMode="External"/><Relationship Id="rId4" Type="http://schemas.microsoft.com/office/2017/10/relationships/threadedComment" Target="../threadedComments/threadedComment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hyperlink" Target="https://cpcb.nic.in/uploads/MSW/Waste_generation_Composition.pdf" TargetMode="External"/><Relationship Id="rId4" Type="http://schemas.microsoft.com/office/2017/10/relationships/threadedComment" Target="../threadedComments/threadedComment19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hyperlink" Target="https://cpcb.nic.in/uploads/MSW/Waste_generation_Composition.pdf" TargetMode="External"/><Relationship Id="rId4" Type="http://schemas.microsoft.com/office/2017/10/relationships/threadedComment" Target="../threadedComments/threadedComment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hyperlink" Target="https://cpcb.nic.in/uploads/MSW/Waste_generation_Composition.pdf" TargetMode="External"/><Relationship Id="rId4" Type="http://schemas.microsoft.com/office/2017/10/relationships/threadedComment" Target="../threadedComments/threadedComment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hyperlink" Target="https://cpcb.nic.in/uploads/MSW/Waste_generation_Composition.pdf" TargetMode="External"/><Relationship Id="rId4" Type="http://schemas.microsoft.com/office/2017/10/relationships/threadedComment" Target="../threadedComments/threadedComment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hyperlink" Target="https://cpcb.nic.in/uploads/MSW/Waste_generation_Composition.pdf" TargetMode="External"/><Relationship Id="rId4" Type="http://schemas.microsoft.com/office/2017/10/relationships/threadedComment" Target="../threadedComments/threadedComment24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hyperlink" Target="https://cpcb.nic.in/uploads/MSW/Waste_generation_Composition.pdf" TargetMode="External"/><Relationship Id="rId4" Type="http://schemas.microsoft.com/office/2017/10/relationships/threadedComment" Target="../threadedComments/threadedComment25.xm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s://mahindraonline.sharepoint.com/:x:/r/sites/SiteSustainability/Shared%20Documents/General/Eden/FY%2025/Q4%20-%20FY%2025/Support%20Documents%20-%20Site%20Sustainability%20Maturity/Waste%20reusage%20-%20Eden.xlsx?d=wf84f47029c7d4b54baaf678fcb1f57f4&amp;csf=1&amp;web=1&amp;e=OHcQqx" TargetMode="External"/><Relationship Id="rId21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Relationship Id="rId42" Type="http://schemas.openxmlformats.org/officeDocument/2006/relationships/hyperlink" Target="https://mahindraonline.sharepoint.com/:p:/r/sites/SiteSustainability/Shared%20Documents/General/Lakewoods/FY%2025/Q2%20-%20FY%2025/Support%20Documents%20-%20Site%20Sustainability%20Maturity/Site%20Initiatives-%20Q2%20(FY24-25).pptx?d=wc1fa8c9fafaa4c7c9c08d8217f9668d0&amp;csf=1&amp;web=1&amp;e=cyatxh" TargetMode="External"/><Relationship Id="rId47" Type="http://schemas.openxmlformats.org/officeDocument/2006/relationships/hyperlink" Target="https://mahindraonline.sharepoint.com/:p:/r/sites/SiteSustainability/Shared%20Documents/General/Lakewoods/FY%2025/Q3%20-%20FY%2025/Support%20Documents%20-%20Site%20Sustainability%20Maturity/Site%20Initiatives-%20Q3%20(FY24-25).pptx?d=w102b9488a42949f3b3d25be93523a7b7&amp;csf=1&amp;web=1&amp;e=ejHpW2" TargetMode="External"/><Relationship Id="rId63" Type="http://schemas.openxmlformats.org/officeDocument/2006/relationships/hyperlink" Target="https://mahindraonline.sharepoint.com/:p:/r/sites/SiteSustainability/Shared%20Documents/General/P21/FY%2025/Q2%20-%20FY%2025/Support%20Documents%20-%20Site%20Sustainability%20Maturity/P21%20Site%20Initiatives%20Q2%20FY25.pptx?d=wb72e6e4f69f5405b90caa2ba68a9248c&amp;csf=1&amp;web=1&amp;e=cj7toj" TargetMode="External"/><Relationship Id="rId68" Type="http://schemas.openxmlformats.org/officeDocument/2006/relationships/hyperlink" Target="https://mahindraonline.sharepoint.com/:p:/r/sites/SiteSustainability/Shared%20Documents/General/P21/FY%2025/Q3%20-%20FY%2025/Support%20Documents%20-%20Site%20Sustainability%20Maturity/P21%20Site%20Initiatives%20Q3%20FY25.pptx?d=w1e967dcf222f49cf82439dce92a870e6&amp;csf=1&amp;web=1&amp;e=l4E2aj" TargetMode="External"/><Relationship Id="rId84" Type="http://schemas.openxmlformats.org/officeDocument/2006/relationships/hyperlink" Target="https://mahindraonline.sharepoint.com/:p:/r/sites/SiteSustainability/Shared%20Documents/General/Citadel/FY%2025/Q3%20-%20FY%2025/Support%20Documents%20-%20Site%20Sustainability%20Maturity/SUSTINAIBILITY%20INITIATIVES%20AT%20MAHINDRA%20CITADEL_Q-3%20FY25%202.pptx?d=w46cc2a6c7c4b4e77a7d2cde9d8acf541&amp;csf=1&amp;web=1&amp;e=s7fuvn" TargetMode="External"/><Relationship Id="rId89" Type="http://schemas.microsoft.com/office/2017/10/relationships/threadedComment" Target="../threadedComments/threadedComment26.xml"/><Relationship Id="rId16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Relationship Id="rId11" Type="http://schemas.openxmlformats.org/officeDocument/2006/relationships/hyperlink" Target="https://mahindraonline.sharepoint.com/:p:/r/sites/SiteSustainability/Shared%20Documents/General/Citadel/FY%2025/Q1%20-%20FY%2025/Support%20Documents%20-%20Site%20Sustainability%20Maturity/CITADEL_SITE%20INITIATIVES_SUSTINAIBILITY_Q-1_FY25.pptx?d=w6580ef6fc8ad4799848f15e9ec5e91de&amp;csf=1&amp;web=1&amp;e=4vevrV" TargetMode="External"/><Relationship Id="rId32" Type="http://schemas.openxmlformats.org/officeDocument/2006/relationships/hyperlink" Target="https://mahindraonline.sharepoint.com/:p:/r/sites/SiteSustainability/Shared%20Documents/General/Happinest%20Kalyan%202%20(Miracle)/FY%2025/Q2%20-%20FY%2025/Support%20Documents%20-%20Site%20Sustainability%20Maturity/Site%20Initiatives/Manual%20Hydraulic%20forklift%20Kaizen%20-HK2.pptx?d=w76708a5be7e84b25add823bed0135b88&amp;csf=1&amp;web=1&amp;e=K1HuLo" TargetMode="External"/><Relationship Id="rId37" Type="http://schemas.openxmlformats.org/officeDocument/2006/relationships/hyperlink" Target="https://mahindraonline.sharepoint.com/:p:/r/sites/SiteSustainability/Shared%20Documents/General/Lakewoods/FY%2025/Q4%20-%20FY%2025/Support%20Documents%20-%20Site%20Sustainability%20Maturity/Site%20Initiatives-%20Q4%20(FY24-25).pptx?d=w5649a814134647d9806cc7c7889cf80a&amp;csf=1&amp;web=1&amp;e=bw87Xs" TargetMode="External"/><Relationship Id="rId53" Type="http://schemas.openxmlformats.org/officeDocument/2006/relationships/hyperlink" Target="https://mahindraonline.sharepoint.com/:x:/r/sites/SiteSustainability/Shared%20Documents/General/Luminare/FY%2025/Q3%20-%20FY%2025/Support%20Documents%20-%20Site%20Sustainability%20Maturity/Fan%20Energy%20Saving%20Comparision.xlsx?d=we428ca5d6b3440799210bfcb61b32a71&amp;csf=1&amp;web=1&amp;e=HzaiYz" TargetMode="External"/><Relationship Id="rId58" Type="http://schemas.openxmlformats.org/officeDocument/2006/relationships/hyperlink" Target="https://mahindraonline.sharepoint.com/:x:/r/sites/SiteSustainability/Shared%20Documents/General/Nestalgia/FY%2025/Q1%20-%20FY%2025/Support%20Documents%20-%20Site%20Sustainability%20Maturity/Q1-FY-25-Audit/Project%20Initiatives%20Q1-25/Cost%20Savings%20on%20Watta%20making.xlsx?d=w0984d2eef7764e5aac47b5a2c4543e78&amp;csf=1&amp;web=1&amp;e=2vBxt4" TargetMode="External"/><Relationship Id="rId74" Type="http://schemas.openxmlformats.org/officeDocument/2006/relationships/hyperlink" Target="https://mahindraonline.sharepoint.com/:p:/r/sites/SiteSustainability/Shared%20Documents/General/Zen/FY%2025/FY%2025/Q4%20-%20FY%2025/Support%20Documents%20-%20Site%20Sustainability%20Maturity/Zen%20Site%20initiatives.pptx?d=w913bb62b6cf742b696c6fd18d6803c9c&amp;csf=1&amp;web=1&amp;e=GHPTwn" TargetMode="External"/><Relationship Id="rId79" Type="http://schemas.openxmlformats.org/officeDocument/2006/relationships/hyperlink" Target="https://mahindraonline.sharepoint.com/:p:/r/sites/SiteSustainability/Shared%20Documents/General/Citadel/FY%2025/Q2%20-%20FY%2025/Support%20Documents%20-%20Site%20Sustainability%20Maturity/CITADEL_SITE%20INITIATIVES_SUSTINAIBILITY_Q-2_FY25.pptx?d=w99527cf34dde4921a56b7fde9ced54d9&amp;csf=1&amp;web=1&amp;e=xuhvCc" TargetMode="External"/><Relationship Id="rId5" Type="http://schemas.openxmlformats.org/officeDocument/2006/relationships/hyperlink" Target="https://mahindraonline.sharepoint.com/:p:/r/sites/SiteSustainability/Shared%20Documents/General/Alcove/FY%2025/Q4%20-%20FY%2025/Support%20Documents%20-%20Site%20Sustainability%20Maturity/Material%20Savings/Savings%20of%20Cost%20%20%26%20Carbon%20Emission.pptx?d=wbc14f0552b724035943b14b8e725cbcc&amp;csf=1&amp;web=1&amp;e=HdNNkE" TargetMode="External"/><Relationship Id="rId14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Relationship Id="rId22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Relationship Id="rId27" Type="http://schemas.openxmlformats.org/officeDocument/2006/relationships/hyperlink" Target="https://mahindraonline.sharepoint.com/:x:/r/sites/SiteSustainability/Shared%20Documents/General/Eden/FY%2025/Q4%20-%20FY%2025/Support%20Documents%20-%20Site%20Sustainability%20Maturity/Water%20consumption%20savings-%20Eden.xlsx?d=w1cb3ef4cbbdc49f29148739ba66ae54e&amp;csf=1&amp;web=1&amp;e=80ItaH" TargetMode="External"/><Relationship Id="rId30" Type="http://schemas.openxmlformats.org/officeDocument/2006/relationships/hyperlink" Target="https://mahindraonline.sharepoint.com/:x:/r/sites/SiteSustainability/Shared%20Documents/General/Happinest%20Kalyan%202%20(Miracle)/FY%2025/Q3%20-%20FY%2025/Support%20Documents%20-%20Site%20Sustainability%20Maturity/Project%20Initiatives/Project%20Initiatives%20%20Tracking.xlsx?d=w1e599943ec9747b3b4f36ed5ec47065c&amp;csf=1&amp;web=1&amp;e=UhVX4d" TargetMode="External"/><Relationship Id="rId35" Type="http://schemas.openxmlformats.org/officeDocument/2006/relationships/hyperlink" Target="https://mahindraonline.sharepoint.com/:x:/r/sites/SiteSustainability/Shared%20Documents/General/Happinest%20Palghar/FY%2025/Q4%20-%20FY%2025/Support%20Documents%20-%20Site%20Sustainability%20Maturity/Project%20Initiatives%20%26%20Tracking%20-%20Template.xlsx?d=wa44ce54c9c1f40a7ab09afe9210a51dd&amp;csf=1&amp;web=1&amp;e=xp8qS1" TargetMode="External"/><Relationship Id="rId43" Type="http://schemas.openxmlformats.org/officeDocument/2006/relationships/hyperlink" Target="https://mahindraonline.sharepoint.com/:p:/r/sites/SiteSustainability/Shared%20Documents/General/Lakewoods/FY%2025/Q2%20-%20FY%2025/Support%20Documents%20-%20Site%20Sustainability%20Maturity/Site%20Initiatives-%20Q2%20(FY24-25).pptx?d=wc1fa8c9fafaa4c7c9c08d8217f9668d0&amp;csf=1&amp;web=1&amp;e=cyatxh" TargetMode="External"/><Relationship Id="rId48" Type="http://schemas.openxmlformats.org/officeDocument/2006/relationships/hyperlink" Target="https://mahindraonline.sharepoint.com/:p:/r/sites/SiteSustainability/Shared%20Documents/General/Lakewoods/FY%2025/Q3%20-%20FY%2025/Support%20Documents%20-%20Site%20Sustainability%20Maturity/Site%20Initiatives-%20Q3%20(FY24-25).pptx?d=w102b9488a42949f3b3d25be93523a7b7&amp;csf=1&amp;web=1&amp;e=ejHpW2" TargetMode="External"/><Relationship Id="rId56" Type="http://schemas.openxmlformats.org/officeDocument/2006/relationships/hyperlink" Target="https://mahindraonline-my.sharepoint.com/:p:/r/personal/23257081_mahindra_com/Documents/MSPIRE%202025/MWC%20Chennai_Tech%20Innovation%20for%20a%20journey%20towards%20Carbon%20Neutrality_Rise%20for%20a%20more%20equal%20world_Planet+ve.pptx?d=wc23886449b364445b8a2564bb317fb32&amp;csf=1&amp;web=1&amp;e=HTbJGY" TargetMode="External"/><Relationship Id="rId64" Type="http://schemas.openxmlformats.org/officeDocument/2006/relationships/hyperlink" Target="https://mahindraonline.sharepoint.com/:p:/r/sites/SiteSustainability/Shared%20Documents/General/P21/FY%2025/Q2%20-%20FY%2025/Support%20Documents%20-%20Site%20Sustainability%20Maturity/P21%20Site%20Initiatives%20Q2%20FY25.pptx?d=wb72e6e4f69f5405b90caa2ba68a9248c&amp;csf=1&amp;web=1&amp;e=cj7toj" TargetMode="External"/><Relationship Id="rId69" Type="http://schemas.openxmlformats.org/officeDocument/2006/relationships/hyperlink" Target="https://mahindraonline.sharepoint.com/:p:/r/sites/SiteSustainability/Shared%20Documents/General/P21/FY%2025/Q4%20-%20FY%2025/Support%20Documents%20-%20Site%20Sustainability%20Maturity/P21%20Site%20Initiatives%20Q4%20FY25%20updated.pptx?d=wcb49db60d0994063bed9093f674cfff7&amp;csf=1&amp;web=1&amp;e=cVkkXz" TargetMode="External"/><Relationship Id="rId77" Type="http://schemas.openxmlformats.org/officeDocument/2006/relationships/hyperlink" Target="https://mahindraonline.sharepoint.com/:p:/r/sites/SiteSustainability/Shared%20Documents/General/Zen/FY%2025/FY%2025/Q4%20-%20FY%2025/Support%20Documents%20-%20Site%20Sustainability%20Maturity/Zen%20Site%20initiatives.pptx?d=w913bb62b6cf742b696c6fd18d6803c9c&amp;csf=1&amp;web=1&amp;e=GHPTwn" TargetMode="External"/><Relationship Id="rId8" Type="http://schemas.openxmlformats.org/officeDocument/2006/relationships/hyperlink" Target="https://mahindraonline.sharepoint.com/:p:/r/sites/SiteSustainability/Shared%20Documents/General/Citadel/FY%2025/Q4%20-%20FY%2025/Support%20Documents%20-%20Site%20Sustainability%20Maturity/SUSTINAIBILITY%20INITIATIVES%20AT%20MAHINDRA%20CITADEL_Q-4%20FY25.pptx?d=w4614e68083d2479c86919512c1ca3ca9&amp;csf=1&amp;web=1&amp;e=iB55X6" TargetMode="External"/><Relationship Id="rId51" Type="http://schemas.openxmlformats.org/officeDocument/2006/relationships/hyperlink" Target="https://mahindraonline.sharepoint.com/:p:/r/sites/SiteSustainability/Shared%20Documents/General/Lakewoods/FY%2025/Q2%20-%20FY%2025/Support%20Documents%20-%20Site%20Sustainability%20Maturity/Site%20Initiatives-%20Q2%20(FY24-25).pptx?d=wc1fa8c9fafaa4c7c9c08d8217f9668d0&amp;csf=1&amp;web=1&amp;e=cyatxh" TargetMode="External"/><Relationship Id="rId72" Type="http://schemas.openxmlformats.org/officeDocument/2006/relationships/hyperlink" Target="https://mahindraonline.sharepoint.com/:p:/r/sites/SiteSustainability/Shared%20Documents/General/Zen/FY%2025/FY%2025/Q4%20-%20FY%2025/Support%20Documents%20-%20Site%20Sustainability%20Maturity/Zen%20Site%20initiatives.pptx?d=w913bb62b6cf742b696c6fd18d6803c9c&amp;csf=1&amp;web=1&amp;e=GHPTwn" TargetMode="External"/><Relationship Id="rId80" Type="http://schemas.openxmlformats.org/officeDocument/2006/relationships/hyperlink" Target="https://mahindraonline.sharepoint.com/:p:/r/sites/SiteSustainability/Shared%20Documents/General/Citadel/FY%2025/Q1%20-%20FY%2025/Support%20Documents%20-%20Site%20Sustainability%20Maturity/CITADEL_SITE%20INITIATIVES_SUSTINAIBILITY_Q-1_FY25.pptx?d=w6580ef6fc8ad4799848f15e9ec5e91de&amp;csf=1&amp;web=1&amp;e=4vevrV" TargetMode="External"/><Relationship Id="rId85" Type="http://schemas.openxmlformats.org/officeDocument/2006/relationships/hyperlink" Target="https://mahindraonline.sharepoint.com/:p:/r/sites/SiteSustainability/Shared%20Documents/General/Citadel/FY%2025/Q3%20-%20FY%2025/Support%20Documents%20-%20Site%20Sustainability%20Maturity/SUSTINAIBILITY%20INITIATIVES%20AT%20MAHINDRA%20CITADEL_Q-3%20FY25%202.pptx?d=w46cc2a6c7c4b4e77a7d2cde9d8acf541&amp;csf=1&amp;web=1&amp;e=s7fuvn" TargetMode="External"/><Relationship Id="rId3" Type="http://schemas.openxmlformats.org/officeDocument/2006/relationships/hyperlink" Target="https://mahindraonline.sharepoint.com/:p:/r/sites/SiteSustainability/Shared%20Documents/General/Alcove/FY%2025/Q4%20-%20FY%2025/Support%20Documents%20-%20Site%20Sustainability%20Maturity/Material%20Savings/Savings%20of%20Cost%20%20%26%20Carbon%20Emission.pptx?d=wbc14f0552b724035943b14b8e725cbcc&amp;csf=1&amp;web=1&amp;e=HdNNkE" TargetMode="External"/><Relationship Id="rId12" Type="http://schemas.openxmlformats.org/officeDocument/2006/relationships/hyperlink" Target="https://mahindraonline.sharepoint.com/:p:/r/sites/SiteSustainability/Shared%20Documents/General/Citadel/FY%2025/Q4%20-%20FY%2025/Support%20Documents%20-%20Site%20Sustainability%20Maturity/SUSTINAIBILITY%20INITIATIVES%20AT%20MAHINDRA%20CITADEL_Q-4%20FY25.pptx?d=w4614e68083d2479c86919512c1ca3ca9&amp;csf=1&amp;web=1&amp;e=iB55X6" TargetMode="External"/><Relationship Id="rId17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Relationship Id="rId25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Relationship Id="rId33" Type="http://schemas.openxmlformats.org/officeDocument/2006/relationships/hyperlink" Target="https://mahindraonline.sharepoint.com/:x:/r/sites/SiteSustainability/Shared%20Documents/General/Happinest%20Palghar/FY%2025/Q4%20-%20FY%2025/Support%20Documents%20-%20Site%20Sustainability%20Maturity/Project%20Initiatives%20%26%20Tracking%20-%20Template.xlsx?d=wa44ce54c9c1f40a7ab09afe9210a51dd&amp;csf=1&amp;web=1&amp;e=xp8qS1" TargetMode="External"/><Relationship Id="rId38" Type="http://schemas.openxmlformats.org/officeDocument/2006/relationships/hyperlink" Target="https://mahindraonline.sharepoint.com/:p:/r/sites/SiteSustainability/Shared%20Documents/General/Lakewoods/FY%2025/Q1%20-%20FY%2025/Support%20Documents%20-%20Site%20Sustainability%20Maturity/P17%20-%20Q1%20Site%20Initiatives%20(24-25).pptx?d=wcf5c734dad3f4b7582a2467401501608&amp;csf=1&amp;web=1&amp;e=VH7aWJ" TargetMode="External"/><Relationship Id="rId46" Type="http://schemas.openxmlformats.org/officeDocument/2006/relationships/hyperlink" Target="https://mahindraonline.sharepoint.com/:p:/r/sites/SiteSustainability/Shared%20Documents/General/Lakewoods/FY%2025/Q3%20-%20FY%2025/Support%20Documents%20-%20Site%20Sustainability%20Maturity/Site%20Initiatives-%20Q3%20(FY24-25).pptx?d=w102b9488a42949f3b3d25be93523a7b7&amp;csf=1&amp;web=1&amp;e=ejHpW2" TargetMode="External"/><Relationship Id="rId59" Type="http://schemas.openxmlformats.org/officeDocument/2006/relationships/hyperlink" Target="https://mahindraonline.sharepoint.com/:x:/r/sites/SiteSustainability/Shared%20Documents/General/Nestalgia/FY%2025/Q1%20-%20FY%2025/Support%20Documents%20-%20Site%20Sustainability%20Maturity/Q1-FY-25-Audit/Project%20Initiatives%20Q1-25/Office%20Const.%20Savings.xlsx?d=w9e8677b4f6b9417fb2f64bd08b31a1c5&amp;csf=1&amp;web=1&amp;e=0V9srF" TargetMode="External"/><Relationship Id="rId67" Type="http://schemas.openxmlformats.org/officeDocument/2006/relationships/hyperlink" Target="https://mahindraonline.sharepoint.com/:p:/r/sites/SiteSustainability/Shared%20Documents/General/P21/FY%2025/Q4%20-%20FY%2025/Support%20Documents%20-%20Site%20Sustainability%20Maturity/P21%20Site%20Initiatives%20Q4%20FY25%20updated.pptx?d=wcb49db60d0994063bed9093f674cfff7&amp;csf=1&amp;web=1&amp;e=cVkkXz" TargetMode="External"/><Relationship Id="rId20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Relationship Id="rId41" Type="http://schemas.openxmlformats.org/officeDocument/2006/relationships/hyperlink" Target="https://mahindraonline.sharepoint.com/:p:/r/sites/SiteSustainability/Shared%20Documents/General/Lakewoods/FY%2025/Q2%20-%20FY%2025/Support%20Documents%20-%20Site%20Sustainability%20Maturity/Site%20Initiatives-%20Q2%20(FY24-25).pptx?d=wc1fa8c9fafaa4c7c9c08d8217f9668d0&amp;csf=1&amp;web=1&amp;e=cyatxh" TargetMode="External"/><Relationship Id="rId54" Type="http://schemas.openxmlformats.org/officeDocument/2006/relationships/hyperlink" Target="https://mahindraonline.sharepoint.com/:w:/r/sites/SiteSustainability/Shared%20Documents/General/Luminare/FY%2025/Q3%20-%20FY%2025/Support%20Documents%20-%20Site%20Sustainability%20Maturity/SUSTAINABILITY%20CASE%20STUDY-%20Water%20Saving%20by%20using%20Curing%20Compound.docx?d=w0f0f860c09f9445ea72f1541068aab58&amp;csf=1&amp;web=1&amp;e=XwyBIG" TargetMode="External"/><Relationship Id="rId62" Type="http://schemas.openxmlformats.org/officeDocument/2006/relationships/hyperlink" Target="https://mahindraonline.sharepoint.com/:p:/r/sites/SiteSustainability/Shared%20Documents/General/P21/FY%2025/Q2%20-%20FY%2025/Support%20Documents%20-%20Site%20Sustainability%20Maturity/P21%20Site%20Initiatives%20Q2%20FY25.pptx?d=wb72e6e4f69f5405b90caa2ba68a9248c&amp;csf=1&amp;web=1&amp;e=cj7toj" TargetMode="External"/><Relationship Id="rId70" Type="http://schemas.openxmlformats.org/officeDocument/2006/relationships/hyperlink" Target="https://mahindraonline.sharepoint.com/:p:/r/sites/SiteSustainability/Shared%20Documents/General/Happinest%20Tathawade/FY%2025/Q4%20-%20FY%2025/Support%20Documents%20-%20Site%20Sustainability%20Maturity/Site%20initiative%20-1.pptx?d=w61225abd3acc4e04ac6efe1007f4fca6&amp;csf=1&amp;web=1&amp;e=x3GQh1" TargetMode="External"/><Relationship Id="rId75" Type="http://schemas.openxmlformats.org/officeDocument/2006/relationships/hyperlink" Target="https://mahindraonline.sharepoint.com/:p:/r/sites/SiteSustainability/Shared%20Documents/General/Zen/FY%2025/FY%2025/Q4%20-%20FY%2025/Support%20Documents%20-%20Site%20Sustainability%20Maturity/Zen%20Site%20initiatives.pptx?d=w913bb62b6cf742b696c6fd18d6803c9c&amp;csf=1&amp;web=1&amp;e=GHPTwn" TargetMode="External"/><Relationship Id="rId83" Type="http://schemas.openxmlformats.org/officeDocument/2006/relationships/hyperlink" Target="https://mahindraonline.sharepoint.com/:p:/r/sites/SiteSustainability/Shared%20Documents/General/Citadel/FY%2025/Q1%20-%20FY%2025/Support%20Documents%20-%20Site%20Sustainability%20Maturity/CITADEL_SITE%20INITIATIVES_SUSTINAIBILITY_Q-1_FY25.pptx?d=w6580ef6fc8ad4799848f15e9ec5e91de&amp;csf=1&amp;web=1&amp;e=4vevrV" TargetMode="External"/><Relationship Id="rId88" Type="http://schemas.openxmlformats.org/officeDocument/2006/relationships/comments" Target="../comments26.xml"/><Relationship Id="rId1" Type="http://schemas.openxmlformats.org/officeDocument/2006/relationships/hyperlink" Target="https://mahindraonline.sharepoint.com/:p:/r/sites/SiteSustainability/Shared%20Documents/General/Alcove/FY%2025/Q4%20-%20FY%2025/Support%20Documents%20-%20Site%20Sustainability%20Maturity/Material%20Savings/Savings%20of%20Cost%20%20%26%20Carbon%20Emission.pptx?d=wbc14f0552b724035943b14b8e725cbcc&amp;csf=1&amp;web=1&amp;e=HdNNkE" TargetMode="External"/><Relationship Id="rId6" Type="http://schemas.openxmlformats.org/officeDocument/2006/relationships/hyperlink" Target="https://mahindraonline.sharepoint.com/:p:/r/sites/SiteSustainability/Shared%20Documents/General/Alcove/FY%2025/Q4%20-%20FY%2025/Support%20Documents%20-%20Site%20Sustainability%20Maturity/Material%20Savings/Savings%20of%20Cost%20%20%26%20Carbon%20Emission.pptx?d=wbc14f0552b724035943b14b8e725cbcc&amp;csf=1&amp;web=1&amp;e=HdNNkE" TargetMode="External"/><Relationship Id="rId15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Relationship Id="rId23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Relationship Id="rId28" Type="http://schemas.openxmlformats.org/officeDocument/2006/relationships/hyperlink" Target="https://mahindraonline.sharepoint.com/:x:/r/sites/SiteSustainability/Shared%20Documents/General/Happinest%20Kalyan%202%20(Miracle)/FY%2025/Q3%20-%20FY%2025/Support%20Documents%20-%20Site%20Sustainability%20Maturity/Project%20Initiatives/Project%20Initiatives%20%20Tracking.xlsx?d=w1e599943ec9747b3b4f36ed5ec47065c&amp;csf=1&amp;web=1&amp;e=UhVX4d" TargetMode="External"/><Relationship Id="rId36" Type="http://schemas.openxmlformats.org/officeDocument/2006/relationships/hyperlink" Target="https://mahindraonline.sharepoint.com/:p:/r/sites/SiteSustainability/Shared%20Documents/General/Lakewoods/FY%2025/Q4%20-%20FY%2025/Support%20Documents%20-%20Site%20Sustainability%20Maturity/Site%20Initiatives-%20Q4%20(FY24-25).pptx?d=w5649a814134647d9806cc7c7889cf80a&amp;csf=1&amp;web=1&amp;e=bw87Xs" TargetMode="External"/><Relationship Id="rId49" Type="http://schemas.openxmlformats.org/officeDocument/2006/relationships/hyperlink" Target="https://mahindraonline.sharepoint.com/:p:/r/sites/SiteSustainability/Shared%20Documents/General/Lakewoods/FY%2025/Q4%20-%20FY%2025/Support%20Documents%20-%20Site%20Sustainability%20Maturity/Site%20Initiatives-%20Q4%20(FY24-25).pptx?d=w5649a814134647d9806cc7c7889cf80a&amp;csf=1&amp;web=1&amp;e=bw87Xs" TargetMode="External"/><Relationship Id="rId57" Type="http://schemas.openxmlformats.org/officeDocument/2006/relationships/hyperlink" Target="https://mahindraonline-my.sharepoint.com/:p:/r/personal/23257081_mahindra_com/Documents/MSPIRE%202025/MWC%20Chennai_Tech%20Innovation%20for%20a%20journey%20towards%20Carbon%20Neutrality_Rise%20for%20a%20more%20equal%20world_Planet+ve.pptx?d=wc23886449b364445b8a2564bb317fb32&amp;csf=1&amp;web=1&amp;e=HTbJGY" TargetMode="External"/><Relationship Id="rId10" Type="http://schemas.openxmlformats.org/officeDocument/2006/relationships/hyperlink" Target="https://mahindraonline.sharepoint.com/:p:/r/sites/SiteSustainability/Shared%20Documents/General/Citadel/FY%2025/Q2%20-%20FY%2025/Support%20Documents%20-%20Site%20Sustainability%20Maturity/CITADEL_SITE%20INITIATIVES_SUSTINAIBILITY_Q-2_FY25.pptx?d=w99527cf34dde4921a56b7fde9ced54d9&amp;csf=1&amp;web=1&amp;e=xuhvCc" TargetMode="External"/><Relationship Id="rId31" Type="http://schemas.openxmlformats.org/officeDocument/2006/relationships/hyperlink" Target="https://mahindraonline.sharepoint.com/:x:/r/sites/SiteSustainability/Shared%20Documents/General/Happinest%20Kalyan%202%20(Miracle)/FY%2025/Q3%20-%20FY%2025/Support%20Documents%20-%20Site%20Sustainability%20Maturity/Project%20Initiatives/Project%20Initiatives%20%20Tracking.xlsx?d=w1e599943ec9747b3b4f36ed5ec47065c&amp;csf=1&amp;web=1&amp;e=UhVX4d" TargetMode="External"/><Relationship Id="rId44" Type="http://schemas.openxmlformats.org/officeDocument/2006/relationships/hyperlink" Target="https://mahindraonline.sharepoint.com/:p:/r/sites/SiteSustainability/Shared%20Documents/General/Lakewoods/FY%2025/Q3%20-%20FY%2025/Support%20Documents%20-%20Site%20Sustainability%20Maturity/Site%20Initiatives-%20Q3%20(FY24-25).pptx?d=w102b9488a42949f3b3d25be93523a7b7&amp;csf=1&amp;web=1&amp;e=ejHpW2" TargetMode="External"/><Relationship Id="rId52" Type="http://schemas.openxmlformats.org/officeDocument/2006/relationships/hyperlink" Target="https://mahindraonline.sharepoint.com/:p:/r/sites/SiteSustainability/Shared%20Documents/General/Lakewoods/FY%2025/Q4%20-%20FY%2025/Support%20Documents%20-%20Site%20Sustainability%20Maturity/Site%20Initiatives-%20Q4%20(FY24-25).pptx?d=w5649a814134647d9806cc7c7889cf80a&amp;csf=1&amp;web=1&amp;e=bw87Xs" TargetMode="External"/><Relationship Id="rId60" Type="http://schemas.openxmlformats.org/officeDocument/2006/relationships/hyperlink" Target="https://mahindraonline.sharepoint.com/:p:/r/sites/SiteSustainability/Shared%20Documents/General/P21/FY%2025/Q1%20-%20FY%2025/Support%20Documents%20-%20Site%20Sustainability%20Maturity/Q1%2724%20Site%20initiatves.pptx?d=wca2c71f0e4d74342b9798281bf31feca&amp;csf=1&amp;web=1&amp;e=6b682Q" TargetMode="External"/><Relationship Id="rId65" Type="http://schemas.openxmlformats.org/officeDocument/2006/relationships/hyperlink" Target="https://mahindraonline.sharepoint.com/:p:/r/sites/SiteSustainability/Shared%20Documents/General/P21/FY%2025/Q3%20-%20FY%2025/Support%20Documents%20-%20Site%20Sustainability%20Maturity/P21%20Site%20Initiatives%20Q3%20FY25.pptx?d=w1e967dcf222f49cf82439dce92a870e6&amp;csf=1&amp;web=1&amp;e=l4E2aj" TargetMode="External"/><Relationship Id="rId73" Type="http://schemas.openxmlformats.org/officeDocument/2006/relationships/hyperlink" Target="https://mahindraonline.sharepoint.com/:p:/r/sites/SiteSustainability/Shared%20Documents/General/Zen/FY%2025/FY%2025/Q4%20-%20FY%2025/Support%20Documents%20-%20Site%20Sustainability%20Maturity/Zen%20Site%20initiatives.pptx?d=w913bb62b6cf742b696c6fd18d6803c9c&amp;csf=1&amp;web=1&amp;e=GHPTwn" TargetMode="External"/><Relationship Id="rId78" Type="http://schemas.openxmlformats.org/officeDocument/2006/relationships/hyperlink" Target="https://mahindraonline.sharepoint.com/:p:/r/sites/SiteSustainability/Shared%20Documents/General/Zen/FY%2025/FY%2025/Q4%20-%20FY%2025/Support%20Documents%20-%20Site%20Sustainability%20Maturity/Zen%20Site%20initiatives.pptx?d=w913bb62b6cf742b696c6fd18d6803c9c&amp;csf=1&amp;web=1&amp;e=GHPTwn" TargetMode="External"/><Relationship Id="rId81" Type="http://schemas.openxmlformats.org/officeDocument/2006/relationships/hyperlink" Target="https://mahindraonline.sharepoint.com/:p:/r/sites/SiteSustainability/Shared%20Documents/General/Citadel/FY%2025/Q2%20-%20FY%2025/Support%20Documents%20-%20Site%20Sustainability%20Maturity/CITADEL_SITE%20INITIATIVES_SUSTINAIBILITY_Q-2_FY25.pptx?d=w99527cf34dde4921a56b7fde9ced54d9&amp;csf=1&amp;web=1&amp;e=xuhvCc" TargetMode="External"/><Relationship Id="rId86" Type="http://schemas.openxmlformats.org/officeDocument/2006/relationships/hyperlink" Target="https://mahindraonline.sharepoint.com/:p:/r/sites/SiteSustainability/Shared%20Documents/General/Citadel/FY%2025/Q1%20-%20FY%2025/Support%20Documents%20-%20Site%20Sustainability%20Maturity/CITADEL_SITE%20INITIATIVES_SUSTINAIBILITY_Q-1_FY25.pptx?d=w6580ef6fc8ad4799848f15e9ec5e91de&amp;csf=1&amp;web=1&amp;e=4vevrV" TargetMode="External"/><Relationship Id="rId4" Type="http://schemas.openxmlformats.org/officeDocument/2006/relationships/hyperlink" Target="https://mahindraonline.sharepoint.com/:p:/r/sites/SiteSustainability/Shared%20Documents/General/Alcove/FY%2025/Q4%20-%20FY%2025/Support%20Documents%20-%20Site%20Sustainability%20Maturity/Material%20Savings/Savings%20of%20Cost%20%20%26%20Carbon%20Emission.pptx?d=wbc14f0552b724035943b14b8e725cbcc&amp;csf=1&amp;web=1&amp;e=HdNNkE" TargetMode="External"/><Relationship Id="rId9" Type="http://schemas.openxmlformats.org/officeDocument/2006/relationships/hyperlink" Target="https://mahindraonline.sharepoint.com/:p:/r/sites/SiteSustainability/Shared%20Documents/General/Citadel/FY%2025/Q4%20-%20FY%2025/Support%20Documents%20-%20Site%20Sustainability%20Maturity/SUSTINAIBILITY%20INITIATIVES%20AT%20MAHINDRA%20CITADEL_Q-4%20FY25.pptx?d=w4614e68083d2479c86919512c1ca3ca9&amp;csf=1&amp;web=1&amp;e=iB55X6" TargetMode="External"/><Relationship Id="rId13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Relationship Id="rId18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Relationship Id="rId39" Type="http://schemas.openxmlformats.org/officeDocument/2006/relationships/hyperlink" Target="https://mahindraonline.sharepoint.com/:p:/r/sites/SiteSustainability/Shared%20Documents/General/Lakewoods/FY%2025/Q1%20-%20FY%2025/Support%20Documents%20-%20Site%20Sustainability%20Maturity/P17%20-%20Q1%20Site%20Initiatives%20(24-25).pptx?d=wcf5c734dad3f4b7582a2467401501608&amp;csf=1&amp;web=1&amp;e=VH7aWJ" TargetMode="External"/><Relationship Id="rId34" Type="http://schemas.openxmlformats.org/officeDocument/2006/relationships/hyperlink" Target="https://mahindraonline.sharepoint.com/:x:/r/sites/SiteSustainability/Shared%20Documents/General/Happinest%20Palghar/FY%2025/Q4%20-%20FY%2025/Support%20Documents%20-%20Site%20Sustainability%20Maturity/Project%20Initiatives%20%26%20Tracking%20-%20Template.xlsx?d=wa44ce54c9c1f40a7ab09afe9210a51dd&amp;csf=1&amp;web=1&amp;e=xp8qS1" TargetMode="External"/><Relationship Id="rId50" Type="http://schemas.openxmlformats.org/officeDocument/2006/relationships/hyperlink" Target="https://mahindraonline.sharepoint.com/:p:/r/sites/SiteSustainability/Shared%20Documents/General/Lakewoods/FY%2025/Q4%20-%20FY%2025/Support%20Documents%20-%20Site%20Sustainability%20Maturity/Site%20Initiatives-%20Q4%20(FY24-25).pptx?d=w5649a814134647d9806cc7c7889cf80a&amp;csf=1&amp;web=1&amp;e=bw87Xs" TargetMode="External"/><Relationship Id="rId55" Type="http://schemas.openxmlformats.org/officeDocument/2006/relationships/hyperlink" Target="https://mahindraonline-my.sharepoint.com/:p:/r/personal/23257081_mahindra_com/Documents/MSPIRE%202025/MWC%20Chennai_Tech%20Innovation%20for%20a%20journey%20towards%20Carbon%20Neutrality_Rise%20for%20a%20more%20equal%20world_Planet+ve.pptx?d=wc23886449b364445b8a2564bb317fb32&amp;csf=1&amp;web=1&amp;e=HTbJGY" TargetMode="External"/><Relationship Id="rId76" Type="http://schemas.openxmlformats.org/officeDocument/2006/relationships/hyperlink" Target="https://mahindraonline.sharepoint.com/:p:/r/sites/SiteSustainability/Shared%20Documents/General/Zen/FY%2025/FY%2025/Q4%20-%20FY%2025/Support%20Documents%20-%20Site%20Sustainability%20Maturity/Zen%20Site%20initiatives.pptx?d=w913bb62b6cf742b696c6fd18d6803c9c&amp;csf=1&amp;web=1&amp;e=GHPTwn" TargetMode="External"/><Relationship Id="rId7" Type="http://schemas.openxmlformats.org/officeDocument/2006/relationships/hyperlink" Target="https://mahindraonline.sharepoint.com/:p:/r/sites/SiteSustainability/Shared%20Documents/General/Citadel/FY%2025/Q4%20-%20FY%2025/Support%20Documents%20-%20Site%20Sustainability%20Maturity/SUSTINAIBILITY%20INITIATIVES%20AT%20MAHINDRA%20CITADEL_Q-4%20FY25.pptx?d=w4614e68083d2479c86919512c1ca3ca9&amp;csf=1&amp;web=1&amp;e=iB55X6" TargetMode="External"/><Relationship Id="rId71" Type="http://schemas.openxmlformats.org/officeDocument/2006/relationships/hyperlink" Target="https://mahindraonline.sharepoint.com/:p:/r/sites/SiteSustainability/Shared%20Documents/General/Happinest%20Tathawade/FY%2025/Q1%20-%20FY%2025/Support%20Documents%20-%20Site%20Sustainability%20Maturity/Water%20Saving%20by%20storage%20in%20UGT%20in%20Monsoon.pptx?d=wc61e569963a54574b1d43e66942555cd&amp;csf=1&amp;web=1&amp;e=7l63EI" TargetMode="External"/><Relationship Id="rId2" Type="http://schemas.openxmlformats.org/officeDocument/2006/relationships/hyperlink" Target="https://mahindraonline.sharepoint.com/:p:/r/sites/SiteSustainability/Shared%20Documents/General/Alcove/FY%2025/Q4%20-%20FY%2025/Support%20Documents%20-%20Site%20Sustainability%20Maturity/Material%20Savings/Savings%20of%20Cost%20%20%26%20Carbon%20Emission.pptx?d=wbc14f0552b724035943b14b8e725cbcc&amp;csf=1&amp;web=1&amp;e=HdNNkE" TargetMode="External"/><Relationship Id="rId29" Type="http://schemas.openxmlformats.org/officeDocument/2006/relationships/hyperlink" Target="https://mahindraonline.sharepoint.com/:x:/r/sites/SiteSustainability/Shared%20Documents/General/Happinest%20Kalyan%202%20(Miracle)/FY%2025/Q3%20-%20FY%2025/Support%20Documents%20-%20Site%20Sustainability%20Maturity/Project%20Initiatives/Project%20Initiatives%20%20Tracking.xlsx?d=w1e599943ec9747b3b4f36ed5ec47065c&amp;csf=1&amp;web=1&amp;e=UhVX4d" TargetMode="External"/><Relationship Id="rId24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Relationship Id="rId40" Type="http://schemas.openxmlformats.org/officeDocument/2006/relationships/hyperlink" Target="https://mahindraonline.sharepoint.com/:p:/r/sites/SiteSustainability/Shared%20Documents/General/Lakewoods/FY%2025/Q1%20-%20FY%2025/Support%20Documents%20-%20Site%20Sustainability%20Maturity/P17%20-%20Q1%20Site%20Initiatives%20(24-25).pptx?d=wcf5c734dad3f4b7582a2467401501608&amp;csf=1&amp;web=1&amp;e=VH7aWJ" TargetMode="External"/><Relationship Id="rId45" Type="http://schemas.openxmlformats.org/officeDocument/2006/relationships/hyperlink" Target="https://mahindraonline.sharepoint.com/:p:/r/sites/SiteSustainability/Shared%20Documents/General/Lakewoods/FY%2025/Q3%20-%20FY%2025/Support%20Documents%20-%20Site%20Sustainability%20Maturity/Site%20Initiatives-%20Q3%20(FY24-25).pptx?d=w102b9488a42949f3b3d25be93523a7b7&amp;csf=1&amp;web=1&amp;e=ejHpW2" TargetMode="External"/><Relationship Id="rId66" Type="http://schemas.openxmlformats.org/officeDocument/2006/relationships/hyperlink" Target="https://mahindraonline.sharepoint.com/:p:/r/sites/SiteSustainability/Shared%20Documents/General/P21/FY%2025/Q4%20-%20FY%2025/Support%20Documents%20-%20Site%20Sustainability%20Maturity/P21%20Site%20Initiatives%20Q4%20FY25%20updated.pptx?d=wcb49db60d0994063bed9093f674cfff7&amp;csf=1&amp;web=1&amp;e=cVkkXz" TargetMode="External"/><Relationship Id="rId87" Type="http://schemas.openxmlformats.org/officeDocument/2006/relationships/vmlDrawing" Target="../drawings/vmlDrawing26.vml"/><Relationship Id="rId61" Type="http://schemas.openxmlformats.org/officeDocument/2006/relationships/hyperlink" Target="https://mahindraonline.sharepoint.com/:p:/r/sites/SiteSustainability/Shared%20Documents/General/P21/FY%2025/Q1%20-%20FY%2025/Support%20Documents%20-%20Site%20Sustainability%20Maturity/Q1%2724%20Site%20initiatves.pptx?d=wca2c71f0e4d74342b9798281bf31feca&amp;csf=1&amp;web=1&amp;e=6b682Q" TargetMode="External"/><Relationship Id="rId82" Type="http://schemas.openxmlformats.org/officeDocument/2006/relationships/hyperlink" Target="https://mahindraonline.sharepoint.com/:p:/r/sites/SiteSustainability/Shared%20Documents/General/Citadel/FY%2025/Q1%20-%20FY%2025/Support%20Documents%20-%20Site%20Sustainability%20Maturity/CITADEL_SITE%20INITIATIVES_SUSTINAIBILITY_Q-1_FY25.pptx?d=w6580ef6fc8ad4799848f15e9ec5e91de&amp;csf=1&amp;web=1&amp;e=4vevrV" TargetMode="External"/><Relationship Id="rId19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/Relationships>
</file>

<file path=xl/worksheets/_rels/sheet28.xml.rels><?xml version="1.0" encoding="UTF-8" standalone="yes"?>
<Relationships xmlns="http://schemas.openxmlformats.org/package/2006/relationships"><Relationship Id="rId13" Type="http://schemas.openxmlformats.org/officeDocument/2006/relationships/hyperlink" Target="https://mahindraonline.sharepoint.com/:x:/r/sites/SiteSustainability/Shared%20Documents/General/Eden/FY%2025/Q4%20-%20FY%2025/Support%20Documents%20-%20Site%20Sustainability%20Maturity/Waste%20reusage%20-%20Eden.xlsx?d=wf84f47029c7d4b54baaf678fcb1f57f4&amp;csf=1&amp;web=1&amp;e=OHcQqx" TargetMode="External"/><Relationship Id="rId18" Type="http://schemas.openxmlformats.org/officeDocument/2006/relationships/hyperlink" Target="https://mahindraonline.sharepoint.com/:x:/r/sites/SiteSustainability/Shared%20Documents/General/Happinest%20Kalyan%202%20(Miracle)/FY%2025/Q3%20-%20FY%2025/Support%20Documents%20-%20Site%20Sustainability%20Maturity/Project%20Initiatives/2).Motion%20sensor%20light%20saving%20working.xlsx?d=w193db9df14854548abde76f4c4c095bd&amp;csf=1&amp;web=1&amp;e=wI1eGq" TargetMode="External"/><Relationship Id="rId26" Type="http://schemas.openxmlformats.org/officeDocument/2006/relationships/hyperlink" Target="https://mahindraonline.sharepoint.com/:x:/r/sites/SiteSustainability/Shared%20Documents/General/Luminare/FY%2025/Q3%20-%20FY%2025/Support%20Documents%20-%20Site%20Sustainability%20Maturity/Fan%20Energy%20Saving%20Comparision.xlsx?d=we428ca5d6b3440799210bfcb61b32a71&amp;csf=1&amp;web=1&amp;e=HzaiYz" TargetMode="External"/><Relationship Id="rId39" Type="http://schemas.openxmlformats.org/officeDocument/2006/relationships/hyperlink" Target="https://mahindraonline.sharepoint.com/:p:/r/sites/SiteSustainability/Shared%20Documents/General/Zen/FY%2025/FY%2025/Q2%20-%20FY%2025/Support%20Documents%20-%20Site%20Sustainability%20Maturity/SMA-%20Q2-%20FY25/Site%20intiatives-%20Q2.pptx?d=wbb6e3e158a1147e98709f69f1a360ff8&amp;csf=1&amp;web=1&amp;e=GmlySv" TargetMode="External"/><Relationship Id="rId21" Type="http://schemas.openxmlformats.org/officeDocument/2006/relationships/hyperlink" Target="https://mahindraonline.sharepoint.com/:x:/r/sites/SiteSustainability/Shared%20Documents/General/Happinest%20Palghar/FY%2025/Q4%20-%20FY%2025/Support%20Documents%20-%20Site%20Sustainability%20Maturity/Project%20Initiatives%20%26%20Tracking%20-%20Template.xlsx?d=wa44ce54c9c1f40a7ab09afe9210a51dd&amp;csf=1&amp;web=1&amp;e=xp8qS1" TargetMode="External"/><Relationship Id="rId34" Type="http://schemas.openxmlformats.org/officeDocument/2006/relationships/hyperlink" Target="https://mahindraonline.sharepoint.com/:p:/r/sites/SiteSustainability/Shared%20Documents/General/P21/FY%2025/Q3%20-%20FY%2025/Support%20Documents%20-%20Site%20Sustainability%20Maturity/P21%20Site%20Initiatives%20Q3%20FY25.pptx?d=w1e967dcf222f49cf82439dce92a870e6&amp;csf=1&amp;web=1&amp;e=l4E2aj" TargetMode="External"/><Relationship Id="rId42" Type="http://schemas.openxmlformats.org/officeDocument/2006/relationships/hyperlink" Target="https://mahindraonline-my.sharepoint.com/:p:/r/personal/23257081_mahindra_com/Documents/MSPIRE%202025/MWC%20Chennai_Tech%20Innovation%20for%20a%20journey%20towards%20Carbon%20Neutrality_Rise%20for%20a%20more%20equal%20world_Planet+ve.pptx?d=wc23886449b364445b8a2564bb317fb32&amp;csf=1&amp;web=1&amp;e=HTbJGY" TargetMode="External"/><Relationship Id="rId7" Type="http://schemas.openxmlformats.org/officeDocument/2006/relationships/hyperlink" Target="https://mahindraonline.sharepoint.com/:p:/r/sites/SiteSustainability/Shared%20Documents/General/Citadel/FY%2025/Q3%20-%20FY%2025/Support%20Documents%20-%20Site%20Sustainability%20Maturity/SUSTINAIBILITY%20INITIATIVES%20AT%20MAHINDRA%20CITADEL_Q-3%20FY25%202.pptx?d=w46cc2a6c7c4b4e77a7d2cde9d8acf541&amp;csf=1&amp;web=1&amp;e=s7fuvn" TargetMode="External"/><Relationship Id="rId2" Type="http://schemas.openxmlformats.org/officeDocument/2006/relationships/hyperlink" Target="https://mahindraonline.sharepoint.com/:p:/r/sites/SiteSustainability/Shared%20Documents/General/Alcove/FY%2025/Q2%20-%20FY%2025/Support%20Documents%20-%20Site%20Sustainability%20Maturity/Material%20Savings/Savings%20of%20Cost%20%20%26%20Carbon%20Emission.pptx?d=wb3288e6565d44a0cb691ec39d83e887f&amp;csf=1&amp;web=1&amp;e=48E4hp" TargetMode="External"/><Relationship Id="rId16" Type="http://schemas.openxmlformats.org/officeDocument/2006/relationships/hyperlink" Target="https://mahindraonline.sharepoint.com/:x:/r/sites/SiteSustainability/Shared%20Documents/General/Happinest%20Kalyan%202%20(Miracle)/FY%2025/Q2%20-%20FY%2025/Support%20Documents%20-%20Site%20Sustainability%20Maturity/Site%20Initiatives/Back%20Up%20Data-Initiatives.xlsx?d=w35658bd7d862482c896d567402138044&amp;csf=1&amp;web=1&amp;e=RfeXqt" TargetMode="External"/><Relationship Id="rId20" Type="http://schemas.openxmlformats.org/officeDocument/2006/relationships/hyperlink" Target="https://mahindraonline.sharepoint.com/:x:/r/sites/SiteSustainability/Shared%20Documents/General/Happinest%20Kalyan%202%20(Miracle)/FY%2025/Q3%20-%20FY%2025/Support%20Documents%20-%20Site%20Sustainability%20Maturity/Project%20Initiatives/Back%20Up%20Data-Initiatives.xlsx?d=w8cf5cf0fbda1420c9139371b225661f2&amp;csf=1&amp;web=1&amp;e=Mtk63z" TargetMode="External"/><Relationship Id="rId29" Type="http://schemas.openxmlformats.org/officeDocument/2006/relationships/hyperlink" Target="https://mahindraonline.sharepoint.com/:x:/r/sites/SiteSustainability/Shared%20Documents/General/Nestalgia/FY%2025/Q1%20-%20FY%2025/Support%20Documents%20-%20Site%20Sustainability%20Maturity/Q1-FY-25-Audit/Project%20Initiatives%20Q1-25/Cost%20Savings%20on%20Watta%20making.xlsx?d=w0984d2eef7764e5aac47b5a2c4543e78&amp;csf=1&amp;web=1&amp;e=2vBxt4" TargetMode="External"/><Relationship Id="rId41" Type="http://schemas.openxmlformats.org/officeDocument/2006/relationships/hyperlink" Target="https://mahindraonline.sharepoint.com/:p:/r/sites/SiteSustainability/Shared%20Documents/General/Zen/FY%2025/FY%2025/Q4%20-%20FY%2025/Support%20Documents%20-%20Site%20Sustainability%20Maturity/Zen%20Site%20initiatives.pptx?d=w913bb62b6cf742b696c6fd18d6803c9c&amp;csf=1&amp;web=1&amp;e=GHPTwn" TargetMode="External"/><Relationship Id="rId1" Type="http://schemas.openxmlformats.org/officeDocument/2006/relationships/hyperlink" Target="https://mahindraonline.sharepoint.com/:p:/r/sites/SiteSustainability/Shared%20Documents/General/Alcove/FY%2025/Q1%20-%20FY%2025/Support%20Documents%20-%20Site%20Sustainability%20Maturity/Material%20Savings/Savings%20of%20Cost%20%20%26%20Carbon%20Emission.pptx?d=wb2a69805694c46f099d5808b19083b85&amp;csf=1&amp;web=1&amp;e=kROFJn" TargetMode="External"/><Relationship Id="rId6" Type="http://schemas.openxmlformats.org/officeDocument/2006/relationships/hyperlink" Target="https://mahindraonline.sharepoint.com/:p:/r/sites/SiteSustainability/Shared%20Documents/General/Citadel/FY%2025/Q2%20-%20FY%2025/Support%20Documents%20-%20Site%20Sustainability%20Maturity/CITADEL_SITE%20INITIATIVES_SUSTINAIBILITY_Q-2_FY25.pptx?d=w99527cf34dde4921a56b7fde9ced54d9&amp;csf=1&amp;web=1&amp;e=xuhvCc" TargetMode="External"/><Relationship Id="rId11" Type="http://schemas.openxmlformats.org/officeDocument/2006/relationships/hyperlink" Target="https://mahindraonline.sharepoint.com/:p:/r/sites/SiteSustainability/Shared%20Documents/General/Eden/FY%2025/Q3%20-%20FY%2025/Support%20Documents%20-%20Site%20Sustainability%20Maturity/Project%20Initiatives%20Evidence%20-%202022%20-2025.pptx?d=w11ce92d51bb248daa13c961da7027109&amp;csf=1&amp;web=1&amp;e=Seqpdf" TargetMode="External"/><Relationship Id="rId24" Type="http://schemas.openxmlformats.org/officeDocument/2006/relationships/hyperlink" Target="https://mahindraonline.sharepoint.com/:p:/r/sites/SiteSustainability/Shared%20Documents/General/Lakewoods/FY%2025/Q3%20-%20FY%2025/Support%20Documents%20-%20Site%20Sustainability%20Maturity/Site%20Initiatives-%20Q3%20(FY24-25).pptx?d=w102b9488a42949f3b3d25be93523a7b7&amp;csf=1&amp;web=1&amp;e=ejHpW2" TargetMode="External"/><Relationship Id="rId32" Type="http://schemas.openxmlformats.org/officeDocument/2006/relationships/hyperlink" Target="https://mahindraonline.sharepoint.com/:p:/r/sites/SiteSustainability/Shared%20Documents/General/P21/FY%2025/Q1%20-%20FY%2025/Support%20Documents%20-%20Site%20Sustainability%20Maturity/Q1%2724%20Site%20initiatves.pptx?d=wca2c71f0e4d74342b9798281bf31feca&amp;csf=1&amp;web=1&amp;e=6b682Q" TargetMode="External"/><Relationship Id="rId37" Type="http://schemas.openxmlformats.org/officeDocument/2006/relationships/hyperlink" Target="https://mahindraonline.sharepoint.com/:p:/r/sites/SiteSustainability/Shared%20Documents/General/Happinest%20Tathawade/FY%2025/Q1%20-%20FY%2025/Support%20Documents%20-%20Site%20Sustainability%20Maturity/Water%20Saving%20by%20storage%20in%20UGT%20in%20Monsoon.pptx?d=wc61e569963a54574b1d43e66942555cd&amp;csf=1&amp;web=1&amp;e=7l63EI" TargetMode="External"/><Relationship Id="rId40" Type="http://schemas.openxmlformats.org/officeDocument/2006/relationships/hyperlink" Target="https://mahindraonline.sharepoint.com/:p:/r/sites/SiteSustainability/Shared%20Documents/General/Zen/FY%2025/FY%2025/Q3%20-%20FY%2025/Support%20Documents%20-%20Site%20Sustainability%20Maturity/SMA-Q3-%20FY25/Site%20intiatives-%20Q3.pptx?d=w56b5c8460a164daf8d4f2397c01abf1b&amp;csf=1&amp;web=1&amp;e=2sXm6o" TargetMode="External"/><Relationship Id="rId5" Type="http://schemas.openxmlformats.org/officeDocument/2006/relationships/hyperlink" Target="https://mahindraonline.sharepoint.com/:p:/r/sites/SiteSustainability/Shared%20Documents/General/Citadel/FY%2025/Q1%20-%20FY%2025/Support%20Documents%20-%20Site%20Sustainability%20Maturity/CITADEL_SITE%20INITIATIVES_SUSTINAIBILITY_Q-1_FY25.pptx?d=w6580ef6fc8ad4799848f15e9ec5e91de&amp;csf=1&amp;web=1&amp;e=4vevrV" TargetMode="External"/><Relationship Id="rId15" Type="http://schemas.openxmlformats.org/officeDocument/2006/relationships/hyperlink" Target="https://mahindraonline.sharepoint.com/:x:/r/sites/SiteSustainability/Shared%20Documents/General/Happinest%20Kalyan%202%20(Miracle)/FY%2025/Q1%20-%20FY%2025/Support%20Documents%20-%20Site%20Sustainability%20Maturity/Site%20Initiatives/Project%20Initiatives%20-%20Template.xlsx?d=w5a79c01c85ea4699b23173d68a72916b&amp;csf=1&amp;web=1&amp;e=pHKGBI" TargetMode="External"/><Relationship Id="rId23" Type="http://schemas.openxmlformats.org/officeDocument/2006/relationships/hyperlink" Target="https://mahindraonline.sharepoint.com/:p:/r/sites/SiteSustainability/Shared%20Documents/General/Lakewoods/FY%2025/Q2%20-%20FY%2025/Support%20Documents%20-%20Site%20Sustainability%20Maturity/Site%20Initiatives-%20Q2%20(FY24-25).pptx?d=wc1fa8c9fafaa4c7c9c08d8217f9668d0&amp;csf=1&amp;web=1&amp;e=cyatxh" TargetMode="External"/><Relationship Id="rId28" Type="http://schemas.openxmlformats.org/officeDocument/2006/relationships/hyperlink" Target="https://mahindraonline.sharepoint.com/:x:/r/sites/SiteSustainability/Shared%20Documents/General/Luminare/FY%2025/Q3%20-%20FY%2025/Support%20Documents%20-%20Site%20Sustainability%20Maturity/Tiles%20Value%20Engineering.xlsx?d=w1a37b3cf2e254a0fb11d9cf981c851d3&amp;csf=1&amp;web=1&amp;e=9jnM63" TargetMode="External"/><Relationship Id="rId36" Type="http://schemas.openxmlformats.org/officeDocument/2006/relationships/hyperlink" Target="https://mahindraonline.sharepoint.com/:p:/r/sites/SiteSustainability/Shared%20Documents/General/Happinest%20Tathawade/FY%2025/Q4%20-%20FY%2025/Support%20Documents%20-%20Site%20Sustainability%20Maturity/Site%20initiative%20-1.pptx?d=w61225abd3acc4e04ac6efe1007f4fca6&amp;csf=1&amp;web=1&amp;e=x3GQh1" TargetMode="External"/><Relationship Id="rId10" Type="http://schemas.openxmlformats.org/officeDocument/2006/relationships/hyperlink" Target="https://mahindraonline.sharepoint.com/:x:/r/sites/SiteSustainability/Shared%20Documents/General/Eden/FY%2025/Q2%20-%20FY%2025/Support%20Documents%20-%20Site%20Sustainability%20Maturity/3.%20EMS/3.3%20Performance%20Tracker/Eden_Project%20Initiatives%20%20Tracking%20-Q2.xlsx?d=w9e5a5f5fc62147b69e026a1e04dcc406&amp;csf=1&amp;web=1&amp;e=retlE8" TargetMode="External"/><Relationship Id="rId19" Type="http://schemas.openxmlformats.org/officeDocument/2006/relationships/hyperlink" Target="https://mahindraonline.sharepoint.com/:x:/r/sites/SiteSustainability/Shared%20Documents/General/Happinest%20Kalyan%202%20(Miracle)/FY%2025/Q3%20-%20FY%2025/Support%20Documents%20-%20Site%20Sustainability%20Maturity/Project%20Initiatives/Project%20Initiatives%20%20Tracking.xlsx?d=w1e599943ec9747b3b4f36ed5ec47065c&amp;csf=1&amp;web=1&amp;e=UhVX4d" TargetMode="External"/><Relationship Id="rId31" Type="http://schemas.openxmlformats.org/officeDocument/2006/relationships/hyperlink" Target="https://mahindraonline.sharepoint.com/:x:/r/sites/SiteSustainability/Shared%20Documents/General/Nestalgia/FY%2025/Q1%20-%20FY%2025/Support%20Documents%20-%20Site%20Sustainability%20Maturity/Q1-FY-25-Audit/Project%20Initiatives%20Q1-25/Backfilling%20Tower%20B.xlsx?d=w7b70b00f209f44ae83dbd0929a7d2b31&amp;csf=1&amp;web=1&amp;e=c5CHIj" TargetMode="External"/><Relationship Id="rId4" Type="http://schemas.openxmlformats.org/officeDocument/2006/relationships/hyperlink" Target="https://mahindraonline.sharepoint.com/:p:/r/sites/SiteSustainability/Shared%20Documents/General/Alcove/FY%2025/Q4%20-%20FY%2025/Support%20Documents%20-%20Site%20Sustainability%20Maturity/Material%20Savings/Savings%20of%20Cost%20%20%26%20Carbon%20Emission.pptx?d=wbc14f0552b724035943b14b8e725cbcc&amp;csf=1&amp;web=1&amp;e=HdNNkE" TargetMode="External"/><Relationship Id="rId9" Type="http://schemas.openxmlformats.org/officeDocument/2006/relationships/hyperlink" Target="https://mahindraonline.sharepoint.com/:p:/r/sites/SiteSustainability/Shared%20Documents/General/Eden/FY%2025/Q1%20-%20FY%2025/Support%20Documents%20-%20Site%20Sustainability%20Maturity/01.%20Sustainibility%20Assesment%20-%202024-2025/Site%20Initiatives%20-%20Q1,Q2,Q3%20%26%20Q4/Project%20Initiatives%20Evidence%20-%202022%20-2025.pptx?d=w97ce7a4ad96f4749bee64a7f6054a079&amp;csf=1&amp;web=1&amp;e=IqpjX7" TargetMode="External"/><Relationship Id="rId14" Type="http://schemas.openxmlformats.org/officeDocument/2006/relationships/hyperlink" Target="https://mahindraonline.sharepoint.com/:x:/r/sites/SiteSustainability/Shared%20Documents/General/Eden/FY%2025/Q4%20-%20FY%2025/Support%20Documents%20-%20Site%20Sustainability%20Maturity/Water%20consumption%20savings-%20Eden.xlsx?d=w1cb3ef4cbbdc49f29148739ba66ae54e&amp;csf=1&amp;web=1&amp;e=80ItaH" TargetMode="External"/><Relationship Id="rId22" Type="http://schemas.openxmlformats.org/officeDocument/2006/relationships/hyperlink" Target="https://mahindraonline.sharepoint.com/:p:/r/sites/SiteSustainability/Shared%20Documents/General/Lakewoods/FY%2025/Q1%20-%20FY%2025/Support%20Documents%20-%20Site%20Sustainability%20Maturity/P17%20-%20Q1%20Site%20Initiatives%20(24-25).pptx?d=wcf5c734dad3f4b7582a2467401501608&amp;csf=1&amp;web=1&amp;e=VH7aWJ" TargetMode="External"/><Relationship Id="rId27" Type="http://schemas.openxmlformats.org/officeDocument/2006/relationships/hyperlink" Target="https://mahindraonline.sharepoint.com/:w:/r/sites/SiteSustainability/Shared%20Documents/General/Luminare/FY%2025/Q3%20-%20FY%2025/Support%20Documents%20-%20Site%20Sustainability%20Maturity/SUSTAINABILITY%20CASE%20STUDY-%20Water%20Saving%20by%20using%20Curing%20Compound.docx?d=w0f0f860c09f9445ea72f1541068aab58&amp;csf=1&amp;web=1&amp;e=XwyBIG" TargetMode="External"/><Relationship Id="rId30" Type="http://schemas.openxmlformats.org/officeDocument/2006/relationships/hyperlink" Target="https://mahindraonline.sharepoint.com/:x:/r/sites/SiteSustainability/Shared%20Documents/General/Nestalgia/FY%2025/Q1%20-%20FY%2025/Support%20Documents%20-%20Site%20Sustainability%20Maturity/Q1-FY-25-Audit/Project%20Initiatives%20Q1-25/Office%20Const.%20Savings.xlsx?d=w9e8677b4f6b9417fb2f64bd08b31a1c5&amp;csf=1&amp;web=1&amp;e=0V9srF" TargetMode="External"/><Relationship Id="rId35" Type="http://schemas.openxmlformats.org/officeDocument/2006/relationships/hyperlink" Target="https://mahindraonline.sharepoint.com/:p:/r/sites/SiteSustainability/Shared%20Documents/General/P21/FY%2025/Q4%20-%20FY%2025/Support%20Documents%20-%20Site%20Sustainability%20Maturity/P21%20Site%20Initiatives%20Q4%20FY25%20updated.pptx?d=wcb49db60d0994063bed9093f674cfff7&amp;csf=1&amp;web=1&amp;e=cVkkXz" TargetMode="External"/><Relationship Id="rId43" Type="http://schemas.openxmlformats.org/officeDocument/2006/relationships/hyperlink" Target="https://mahindraonline-my.sharepoint.com/:p:/r/personal/23257081_mahindra_com/Documents/MSPIRE%202025/MWC%20Jaipur_Electrification%20for%20Climate%20positive%20development_Rise%20for%20a%20more%20equal%20world_Planet+ve.pptx?d=w6daee27d165e41edbfa0d0f01711e008&amp;csf=1&amp;web=1&amp;e=SX8fzU" TargetMode="External"/><Relationship Id="rId8" Type="http://schemas.openxmlformats.org/officeDocument/2006/relationships/hyperlink" Target="https://mahindraonline.sharepoint.com/:p:/r/sites/SiteSustainability/Shared%20Documents/General/Citadel/FY%2025/Q4%20-%20FY%2025/Support%20Documents%20-%20Site%20Sustainability%20Maturity/SUSTINAIBILITY%20INITIATIVES%20AT%20MAHINDRA%20CITADEL_Q-4%20FY25.pptx?d=w4614e68083d2479c86919512c1ca3ca9&amp;csf=1&amp;web=1&amp;e=iB55X6" TargetMode="External"/><Relationship Id="rId3" Type="http://schemas.openxmlformats.org/officeDocument/2006/relationships/hyperlink" Target="https://mahindraonline.sharepoint.com/:p:/r/sites/SiteSustainability/Shared%20Documents/General/Alcove/FY%2025/Q3%20-%20FY%2025/Support%20Documents%20-%20Site%20Sustainability%20Maturity/Material%20Savings/Savings%20of%20Cost%20%20%26%20Carbon%20Emission.pptx?d=w7ecd8434baf84223b2d00dac542d6ab0&amp;csf=1&amp;web=1&amp;e=PIcDdC" TargetMode="External"/><Relationship Id="rId12" Type="http://schemas.openxmlformats.org/officeDocument/2006/relationships/hyperlink" Target="https://mahindraonline.sharepoint.com/:p:/r/sites/SiteSustainability/Shared%20Documents/General/Eden/FY%2025/Q4%20-%20FY%2025/Support%20Documents%20-%20Site%20Sustainability%20Maturity/Project%20Initiatives%20Evidence%20-%202022%20-2025.pptx?d=wfde06c2ae74440f2bc329334c0e116f5&amp;csf=1&amp;web=1&amp;e=znvYOK" TargetMode="External"/><Relationship Id="rId17" Type="http://schemas.openxmlformats.org/officeDocument/2006/relationships/hyperlink" Target="https://mahindraonline.sharepoint.com/:p:/r/sites/SiteSustainability/Shared%20Documents/General/Happinest%20Kalyan%202%20(Miracle)/FY%2025/Q2%20-%20FY%2025/Support%20Documents%20-%20Site%20Sustainability%20Maturity/Site%20Initiatives/Manual%20Hydraulic%20forklift%20Kaizen%20-HK2.pptx?d=w76708a5be7e84b25add823bed0135b88&amp;csf=1&amp;web=1&amp;e=K1HuLo" TargetMode="External"/><Relationship Id="rId25" Type="http://schemas.openxmlformats.org/officeDocument/2006/relationships/hyperlink" Target="https://mahindraonline.sharepoint.com/:p:/r/sites/SiteSustainability/Shared%20Documents/General/Lakewoods/FY%2025/Q4%20-%20FY%2025/Support%20Documents%20-%20Site%20Sustainability%20Maturity/Site%20Initiatives-%20Q4%20(FY24-25).pptx?d=w5649a814134647d9806cc7c7889cf80a&amp;csf=1&amp;web=1&amp;e=bw87Xs" TargetMode="External"/><Relationship Id="rId33" Type="http://schemas.openxmlformats.org/officeDocument/2006/relationships/hyperlink" Target="https://mahindraonline.sharepoint.com/:p:/r/sites/SiteSustainability/Shared%20Documents/General/P21/FY%2025/Q2%20-%20FY%2025/Support%20Documents%20-%20Site%20Sustainability%20Maturity/P21%20Site%20Initiatives%20Q2%20FY25.pptx?d=wb72e6e4f69f5405b90caa2ba68a9248c&amp;csf=1&amp;web=1&amp;e=cj7toj" TargetMode="External"/><Relationship Id="rId38" Type="http://schemas.openxmlformats.org/officeDocument/2006/relationships/hyperlink" Target="https://mahindraonline.sharepoint.com/:p:/r/sites/SiteSustainability/Shared%20Documents/General/Zen/FY%2025/FY%2025/Q1%20-%20FY%2025/Support%20Documents%20-%20Site%20Sustainability%20Maturity/Q1-FY2024-25/Site%20intiatives.pptx?d=w6ad4833905c14cbebae4903ca79edd50&amp;csf=1&amp;web=1&amp;e=nPLLMW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hyperlink" Target="https://cpcb.nic.in/uploads/MSW/Waste_generation_Composition.pdf" TargetMode="External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8.xml"/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hyperlink" Target="https://cpcb.nic.in/uploads/MSW/Waste_generation_Composition.pdf" TargetMode="External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1863B-9588-4CF9-B505-86E3FC597547}">
  <sheetPr>
    <tabColor rgb="FF92D050"/>
  </sheetPr>
  <dimension ref="B1:U56"/>
  <sheetViews>
    <sheetView topLeftCell="A36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21.81640625" style="1" bestFit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21" ht="20.25" customHeight="1" thickBot="1" x14ac:dyDescent="0.45">
      <c r="B1" s="7" t="s">
        <v>37</v>
      </c>
      <c r="C1" s="187" t="s">
        <v>38</v>
      </c>
      <c r="D1" s="8" t="s">
        <v>39</v>
      </c>
    </row>
    <row r="2" spans="2:21" ht="29.5" thickBot="1" x14ac:dyDescent="0.45">
      <c r="B2" s="9" t="s">
        <v>14</v>
      </c>
      <c r="C2" s="188"/>
      <c r="D2" s="10" t="s">
        <v>23</v>
      </c>
      <c r="E2" s="11" t="s">
        <v>40</v>
      </c>
      <c r="L2" s="6" t="s">
        <v>15</v>
      </c>
    </row>
    <row r="3" spans="2:21" ht="16.5" thickBot="1" x14ac:dyDescent="0.45">
      <c r="B3" s="12" t="s">
        <v>41</v>
      </c>
      <c r="C3" s="13"/>
      <c r="D3" s="13">
        <v>0</v>
      </c>
      <c r="E3" s="14">
        <f t="shared" ref="E3:E30" si="0">SUM(D3:D3)</f>
        <v>0</v>
      </c>
      <c r="I3" s="1" t="s">
        <v>42</v>
      </c>
      <c r="J3" s="1" t="s">
        <v>43</v>
      </c>
      <c r="L3" s="6" t="s">
        <v>16</v>
      </c>
      <c r="O3" s="189" t="s">
        <v>44</v>
      </c>
      <c r="P3" s="190"/>
      <c r="Q3" s="190"/>
      <c r="R3" s="190"/>
      <c r="S3" s="190"/>
      <c r="T3" s="190"/>
      <c r="U3" s="191"/>
    </row>
    <row r="4" spans="2:21" ht="16.5" thickBot="1" x14ac:dyDescent="0.45">
      <c r="B4" s="15" t="s">
        <v>45</v>
      </c>
      <c r="C4" s="16" t="s">
        <v>46</v>
      </c>
      <c r="D4" s="17">
        <v>0</v>
      </c>
      <c r="E4" s="18">
        <f t="shared" si="0"/>
        <v>0</v>
      </c>
      <c r="F4" s="1">
        <v>30</v>
      </c>
      <c r="G4" s="1" t="s">
        <v>47</v>
      </c>
      <c r="H4" s="1">
        <v>102</v>
      </c>
      <c r="I4" s="1">
        <f>0.45*H4*F4/2</f>
        <v>688.5</v>
      </c>
      <c r="J4" s="1">
        <f>0.55*H4*F4/2</f>
        <v>841.5</v>
      </c>
      <c r="L4" s="6" t="s">
        <v>17</v>
      </c>
      <c r="O4" s="19" t="s">
        <v>48</v>
      </c>
      <c r="P4" s="20"/>
      <c r="Q4" s="21" t="s">
        <v>49</v>
      </c>
      <c r="R4" s="20"/>
      <c r="S4" s="20"/>
      <c r="T4" s="20"/>
      <c r="U4" s="22"/>
    </row>
    <row r="5" spans="2:21" ht="16.5" thickBot="1" x14ac:dyDescent="0.45">
      <c r="B5" s="12" t="s">
        <v>50</v>
      </c>
      <c r="C5" s="23"/>
      <c r="D5" s="13">
        <v>0</v>
      </c>
      <c r="E5" s="24">
        <f t="shared" si="0"/>
        <v>0</v>
      </c>
      <c r="F5" s="1">
        <v>31</v>
      </c>
      <c r="G5" s="1" t="s">
        <v>13</v>
      </c>
      <c r="H5" s="1">
        <v>102</v>
      </c>
      <c r="I5" s="1">
        <f t="shared" ref="I5:I15" si="1">0.45*H5*F5/2</f>
        <v>711.44999999999993</v>
      </c>
      <c r="J5" s="1">
        <f t="shared" ref="J5:J15" si="2">0.55*H5*F5/2</f>
        <v>869.55000000000007</v>
      </c>
      <c r="L5" s="6" t="s">
        <v>14</v>
      </c>
      <c r="O5" s="25" t="s">
        <v>33</v>
      </c>
      <c r="P5" s="26"/>
      <c r="Q5" s="26"/>
      <c r="R5" s="26">
        <v>0.45</v>
      </c>
      <c r="S5" s="26"/>
      <c r="T5" s="26"/>
      <c r="U5" s="27" t="s">
        <v>51</v>
      </c>
    </row>
    <row r="6" spans="2:21" ht="16.5" thickBot="1" x14ac:dyDescent="0.45">
      <c r="B6" s="15" t="s">
        <v>52</v>
      </c>
      <c r="C6" s="28" t="s">
        <v>46</v>
      </c>
      <c r="D6" s="17">
        <v>0</v>
      </c>
      <c r="E6" s="18">
        <f t="shared" si="0"/>
        <v>0</v>
      </c>
      <c r="F6" s="1">
        <v>30</v>
      </c>
      <c r="G6" s="1" t="s">
        <v>53</v>
      </c>
      <c r="H6" s="1">
        <v>102</v>
      </c>
      <c r="I6" s="1">
        <f t="shared" si="1"/>
        <v>688.5</v>
      </c>
      <c r="J6" s="1">
        <f t="shared" si="2"/>
        <v>841.5</v>
      </c>
      <c r="L6" s="6" t="s">
        <v>18</v>
      </c>
      <c r="O6" s="25" t="s">
        <v>36</v>
      </c>
      <c r="P6" s="26"/>
      <c r="Q6" s="26"/>
      <c r="R6" s="26">
        <v>0.46</v>
      </c>
      <c r="S6" s="26"/>
      <c r="T6" s="26"/>
      <c r="U6" s="27" t="s">
        <v>51</v>
      </c>
    </row>
    <row r="7" spans="2:21" ht="16.5" thickBot="1" x14ac:dyDescent="0.45">
      <c r="B7" s="12" t="s">
        <v>54</v>
      </c>
      <c r="C7" s="23"/>
      <c r="D7" s="13">
        <v>0</v>
      </c>
      <c r="E7" s="24">
        <f t="shared" si="0"/>
        <v>0</v>
      </c>
      <c r="F7" s="1">
        <v>31</v>
      </c>
      <c r="G7" s="1" t="s">
        <v>55</v>
      </c>
      <c r="H7" s="1">
        <v>102</v>
      </c>
      <c r="I7" s="1">
        <f t="shared" si="1"/>
        <v>711.44999999999993</v>
      </c>
      <c r="J7" s="1">
        <f t="shared" si="2"/>
        <v>869.55000000000007</v>
      </c>
      <c r="L7" s="6" t="s">
        <v>19</v>
      </c>
      <c r="O7" s="25" t="s">
        <v>32</v>
      </c>
      <c r="P7" s="26"/>
      <c r="Q7" s="26"/>
      <c r="R7" s="26">
        <v>0.62</v>
      </c>
      <c r="S7" s="26"/>
      <c r="T7" s="26"/>
      <c r="U7" s="27" t="s">
        <v>51</v>
      </c>
    </row>
    <row r="8" spans="2:21" x14ac:dyDescent="0.4">
      <c r="B8" s="29" t="s">
        <v>56</v>
      </c>
      <c r="C8" s="28" t="s">
        <v>46</v>
      </c>
      <c r="D8" s="30">
        <v>0</v>
      </c>
      <c r="E8" s="31">
        <f t="shared" si="0"/>
        <v>0</v>
      </c>
      <c r="F8" s="1">
        <v>31</v>
      </c>
      <c r="G8" s="1" t="s">
        <v>57</v>
      </c>
      <c r="H8" s="1">
        <v>102</v>
      </c>
      <c r="I8" s="1">
        <f t="shared" si="1"/>
        <v>711.44999999999993</v>
      </c>
      <c r="J8" s="1">
        <f t="shared" si="2"/>
        <v>869.55000000000007</v>
      </c>
      <c r="L8" s="6" t="s">
        <v>20</v>
      </c>
      <c r="O8" s="25" t="s">
        <v>35</v>
      </c>
      <c r="P8" s="26"/>
      <c r="Q8" s="26"/>
      <c r="R8" s="26">
        <v>0.39</v>
      </c>
      <c r="S8" s="26"/>
      <c r="T8" s="26"/>
      <c r="U8" s="27" t="s">
        <v>51</v>
      </c>
    </row>
    <row r="9" spans="2:21" ht="16.5" thickBot="1" x14ac:dyDescent="0.45">
      <c r="B9" s="32" t="s">
        <v>58</v>
      </c>
      <c r="C9" s="28" t="s">
        <v>46</v>
      </c>
      <c r="D9" s="33">
        <v>0</v>
      </c>
      <c r="E9" s="34">
        <f t="shared" si="0"/>
        <v>0</v>
      </c>
      <c r="F9" s="1">
        <v>30</v>
      </c>
      <c r="G9" s="1" t="s">
        <v>59</v>
      </c>
      <c r="H9" s="1">
        <v>102</v>
      </c>
      <c r="I9" s="1">
        <f t="shared" si="1"/>
        <v>688.5</v>
      </c>
      <c r="J9" s="1">
        <f t="shared" si="2"/>
        <v>841.5</v>
      </c>
      <c r="L9" s="6" t="s">
        <v>21</v>
      </c>
      <c r="O9" s="35" t="s">
        <v>34</v>
      </c>
      <c r="P9" s="36"/>
      <c r="Q9" s="36"/>
      <c r="R9" s="36">
        <v>0.56999999999999995</v>
      </c>
      <c r="S9" s="36"/>
      <c r="T9" s="36"/>
      <c r="U9" s="37" t="s">
        <v>51</v>
      </c>
    </row>
    <row r="10" spans="2:21" ht="16.5" thickBot="1" x14ac:dyDescent="0.45">
      <c r="B10" s="12" t="s">
        <v>60</v>
      </c>
      <c r="C10" s="23"/>
      <c r="D10" s="38">
        <f>SUM(D11:D28)</f>
        <v>18615</v>
      </c>
      <c r="E10" s="24">
        <f t="shared" si="0"/>
        <v>18615</v>
      </c>
      <c r="F10" s="1">
        <v>31</v>
      </c>
      <c r="G10" s="1" t="s">
        <v>61</v>
      </c>
      <c r="H10" s="1">
        <v>102</v>
      </c>
      <c r="I10" s="1">
        <f t="shared" si="1"/>
        <v>711.44999999999993</v>
      </c>
      <c r="J10" s="1">
        <f t="shared" si="2"/>
        <v>869.55000000000007</v>
      </c>
      <c r="L10" s="6" t="s">
        <v>22</v>
      </c>
    </row>
    <row r="11" spans="2:21" x14ac:dyDescent="0.4">
      <c r="B11" s="29" t="s">
        <v>62</v>
      </c>
      <c r="C11" s="28" t="s">
        <v>46</v>
      </c>
      <c r="D11" s="30">
        <v>0</v>
      </c>
      <c r="E11" s="31">
        <f t="shared" si="0"/>
        <v>0</v>
      </c>
      <c r="F11" s="1">
        <v>30</v>
      </c>
      <c r="G11" s="1" t="s">
        <v>63</v>
      </c>
      <c r="H11" s="1">
        <v>102</v>
      </c>
      <c r="I11" s="1">
        <f t="shared" si="1"/>
        <v>688.5</v>
      </c>
      <c r="J11" s="1">
        <f t="shared" si="2"/>
        <v>841.5</v>
      </c>
    </row>
    <row r="12" spans="2:21" x14ac:dyDescent="0.4">
      <c r="B12" s="39" t="s">
        <v>64</v>
      </c>
      <c r="C12" s="40" t="s">
        <v>65</v>
      </c>
      <c r="D12" s="41">
        <f>I16</f>
        <v>8376.75</v>
      </c>
      <c r="E12" s="41">
        <f t="shared" si="0"/>
        <v>8376.75</v>
      </c>
      <c r="F12" s="1">
        <v>31</v>
      </c>
      <c r="G12" s="1" t="s">
        <v>66</v>
      </c>
      <c r="H12" s="1">
        <v>102</v>
      </c>
      <c r="I12" s="1">
        <f t="shared" si="1"/>
        <v>711.44999999999993</v>
      </c>
      <c r="J12" s="1">
        <f t="shared" si="2"/>
        <v>869.55000000000007</v>
      </c>
    </row>
    <row r="13" spans="2:21" x14ac:dyDescent="0.4">
      <c r="B13" s="39" t="s">
        <v>67</v>
      </c>
      <c r="C13" s="40" t="s">
        <v>65</v>
      </c>
      <c r="D13" s="42">
        <v>0</v>
      </c>
      <c r="E13" s="41">
        <f t="shared" si="0"/>
        <v>0</v>
      </c>
      <c r="F13" s="1">
        <v>31</v>
      </c>
      <c r="G13" s="1" t="s">
        <v>68</v>
      </c>
      <c r="H13" s="1">
        <v>102</v>
      </c>
      <c r="I13" s="1">
        <f t="shared" si="1"/>
        <v>711.44999999999993</v>
      </c>
      <c r="J13" s="1">
        <f t="shared" si="2"/>
        <v>869.55000000000007</v>
      </c>
    </row>
    <row r="14" spans="2:21" x14ac:dyDescent="0.4">
      <c r="B14" s="39" t="s">
        <v>69</v>
      </c>
      <c r="C14" s="28" t="s">
        <v>46</v>
      </c>
      <c r="D14" s="42">
        <v>0</v>
      </c>
      <c r="E14" s="41">
        <f t="shared" si="0"/>
        <v>0</v>
      </c>
      <c r="F14" s="1">
        <v>28</v>
      </c>
      <c r="G14" s="1" t="s">
        <v>70</v>
      </c>
      <c r="H14" s="1">
        <v>102</v>
      </c>
      <c r="I14" s="1">
        <f t="shared" si="1"/>
        <v>642.6</v>
      </c>
      <c r="J14" s="1">
        <f t="shared" si="2"/>
        <v>785.4</v>
      </c>
    </row>
    <row r="15" spans="2:21" x14ac:dyDescent="0.4">
      <c r="B15" s="39" t="s">
        <v>71</v>
      </c>
      <c r="C15" s="28" t="s">
        <v>46</v>
      </c>
      <c r="D15" s="42">
        <v>0</v>
      </c>
      <c r="E15" s="41">
        <f t="shared" si="0"/>
        <v>0</v>
      </c>
      <c r="F15" s="1">
        <v>31</v>
      </c>
      <c r="G15" s="1" t="s">
        <v>72</v>
      </c>
      <c r="H15" s="1">
        <v>102</v>
      </c>
      <c r="I15" s="1">
        <f t="shared" si="1"/>
        <v>711.44999999999993</v>
      </c>
      <c r="J15" s="1">
        <f t="shared" si="2"/>
        <v>869.55000000000007</v>
      </c>
    </row>
    <row r="16" spans="2:21" x14ac:dyDescent="0.4">
      <c r="B16" s="39" t="s">
        <v>73</v>
      </c>
      <c r="C16" s="28" t="s">
        <v>46</v>
      </c>
      <c r="D16" s="42">
        <v>0</v>
      </c>
      <c r="E16" s="41">
        <f t="shared" si="0"/>
        <v>0</v>
      </c>
      <c r="I16" s="1">
        <f>SUM(I4:I15)</f>
        <v>8376.75</v>
      </c>
      <c r="J16" s="1">
        <f>SUM(J4:J15)</f>
        <v>10238.25</v>
      </c>
    </row>
    <row r="17" spans="2:15" x14ac:dyDescent="0.4">
      <c r="B17" s="39" t="s">
        <v>74</v>
      </c>
      <c r="C17" s="40" t="s">
        <v>65</v>
      </c>
      <c r="D17" s="42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42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42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42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65</v>
      </c>
      <c r="D21" s="42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42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42">
        <f>J16</f>
        <v>10238.25</v>
      </c>
      <c r="E23" s="41">
        <f t="shared" si="0"/>
        <v>10238.25</v>
      </c>
    </row>
    <row r="24" spans="2:15" x14ac:dyDescent="0.4">
      <c r="B24" s="39" t="s">
        <v>81</v>
      </c>
      <c r="C24" s="28" t="s">
        <v>46</v>
      </c>
      <c r="D24" s="42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42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42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65</v>
      </c>
      <c r="D27" s="42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3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13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30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Recycled/Reused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5" si="3">VLOOKUP($B34,$B$4:$C$30,2,0)</f>
        <v>Recycled/Reused</v>
      </c>
      <c r="D34" s="40">
        <f t="shared" ref="D34:D54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 t="str">
        <f t="shared" si="3"/>
        <v>Recycled/Reused</v>
      </c>
      <c r="D35" s="40">
        <f t="shared" si="4"/>
        <v>0</v>
      </c>
      <c r="E35" s="49" t="s">
        <v>93</v>
      </c>
      <c r="G35" s="50" t="s">
        <v>46</v>
      </c>
      <c r="H35" s="51">
        <f>SUMIFS($D$33:$D$55,$C$33:$C$55,$G35)</f>
        <v>0</v>
      </c>
    </row>
    <row r="36" spans="2:15" ht="16.5" thickBot="1" x14ac:dyDescent="0.45">
      <c r="B36" s="48" t="s">
        <v>58</v>
      </c>
      <c r="C36" s="39" t="str">
        <f t="shared" si="3"/>
        <v>Recycled/Reused</v>
      </c>
      <c r="D36" s="40">
        <f t="shared" si="4"/>
        <v>0</v>
      </c>
      <c r="E36" s="49" t="s">
        <v>93</v>
      </c>
      <c r="G36" s="52" t="s">
        <v>65</v>
      </c>
      <c r="H36" s="53">
        <f>SUMIFS($D$33:$D$55,$C$33:$C$55,$G36)</f>
        <v>18615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D56-SUM(D35:D36)</f>
        <v>18615</v>
      </c>
    </row>
    <row r="38" spans="2:15" ht="32.5" thickBot="1" x14ac:dyDescent="0.45">
      <c r="B38" s="48" t="s">
        <v>64</v>
      </c>
      <c r="C38" s="39" t="str">
        <f t="shared" si="3"/>
        <v>Landfill</v>
      </c>
      <c r="D38" s="40">
        <f t="shared" si="4"/>
        <v>8376.75</v>
      </c>
      <c r="E38" s="49" t="s">
        <v>92</v>
      </c>
      <c r="G38" s="56" t="s">
        <v>94</v>
      </c>
      <c r="H38" s="57">
        <f>IF(ISERROR(H35/H37), "ZERO Waste Generated", (H35/H37))</f>
        <v>0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 t="shared" si="4"/>
        <v>0</v>
      </c>
      <c r="E42" s="49" t="s">
        <v>92</v>
      </c>
      <c r="G42" s="58" t="s">
        <v>95</v>
      </c>
      <c r="H42" s="51">
        <f>D38*0.5</f>
        <v>4188.375</v>
      </c>
    </row>
    <row r="43" spans="2:15" x14ac:dyDescent="0.4">
      <c r="B43" s="48" t="s">
        <v>74</v>
      </c>
      <c r="C43" s="39" t="str">
        <f t="shared" si="3"/>
        <v>Landfill</v>
      </c>
      <c r="D43" s="40">
        <f t="shared" si="4"/>
        <v>0</v>
      </c>
      <c r="E43" s="49" t="s">
        <v>92</v>
      </c>
      <c r="G43" s="59" t="s">
        <v>96</v>
      </c>
      <c r="H43" s="60">
        <f>SUM(D41,D47,D53)</f>
        <v>0</v>
      </c>
    </row>
    <row r="44" spans="2:15" ht="16.5" thickBot="1" x14ac:dyDescent="0.45">
      <c r="B44" s="48" t="s">
        <v>75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D54</f>
        <v>0</v>
      </c>
    </row>
    <row r="45" spans="2:15" x14ac:dyDescent="0.4">
      <c r="B45" s="48" t="s">
        <v>76</v>
      </c>
      <c r="C45" s="39" t="str">
        <f t="shared" si="3"/>
        <v>Recycled/Reused</v>
      </c>
      <c r="D45" s="40">
        <f t="shared" si="4"/>
        <v>0</v>
      </c>
      <c r="E45" s="49" t="s">
        <v>92</v>
      </c>
    </row>
    <row r="46" spans="2:15" x14ac:dyDescent="0.4">
      <c r="B46" s="48" t="s">
        <v>77</v>
      </c>
      <c r="C46" s="39" t="str">
        <f t="shared" si="3"/>
        <v>Landfill</v>
      </c>
      <c r="D46" s="40">
        <f t="shared" si="4"/>
        <v>0</v>
      </c>
      <c r="E46" s="49" t="s">
        <v>92</v>
      </c>
    </row>
    <row r="47" spans="2:15" x14ac:dyDescent="0.4">
      <c r="B47" s="48" t="s">
        <v>78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79</v>
      </c>
      <c r="C48" s="39" t="str">
        <f t="shared" si="3"/>
        <v>Recycled/Reused</v>
      </c>
      <c r="D48" s="40">
        <f t="shared" si="4"/>
        <v>0</v>
      </c>
      <c r="E48" s="49" t="s">
        <v>92</v>
      </c>
      <c r="G48" s="63"/>
    </row>
    <row r="49" spans="2:5" x14ac:dyDescent="0.4">
      <c r="B49" s="48" t="s">
        <v>80</v>
      </c>
      <c r="C49" s="39" t="str">
        <f t="shared" si="3"/>
        <v>Landfill</v>
      </c>
      <c r="D49" s="40">
        <f t="shared" si="4"/>
        <v>10238.25</v>
      </c>
      <c r="E49" s="49" t="s">
        <v>92</v>
      </c>
    </row>
    <row r="50" spans="2:5" x14ac:dyDescent="0.4">
      <c r="B50" s="48" t="s">
        <v>81</v>
      </c>
      <c r="C50" s="39" t="str">
        <f t="shared" si="3"/>
        <v>Recycled/Reused</v>
      </c>
      <c r="D50" s="40">
        <f t="shared" si="4"/>
        <v>0</v>
      </c>
      <c r="E50" s="49" t="s">
        <v>92</v>
      </c>
    </row>
    <row r="51" spans="2:5" x14ac:dyDescent="0.4">
      <c r="B51" s="48" t="s">
        <v>82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83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84</v>
      </c>
      <c r="C53" s="39" t="str">
        <f t="shared" si="3"/>
        <v>Landfill</v>
      </c>
      <c r="D53" s="40">
        <f t="shared" si="4"/>
        <v>0</v>
      </c>
      <c r="E53" s="49" t="s">
        <v>92</v>
      </c>
    </row>
    <row r="54" spans="2:5" x14ac:dyDescent="0.4">
      <c r="B54" s="48" t="s">
        <v>85</v>
      </c>
      <c r="C54" s="39" t="str">
        <f t="shared" si="3"/>
        <v>Recycled/Reused</v>
      </c>
      <c r="D54" s="40">
        <f t="shared" si="4"/>
        <v>0</v>
      </c>
      <c r="E54" s="49" t="s">
        <v>92</v>
      </c>
    </row>
    <row r="55" spans="2:5" ht="18.5" thickBot="1" x14ac:dyDescent="0.45">
      <c r="B55" s="64" t="s">
        <v>87</v>
      </c>
      <c r="C55" s="65" t="str">
        <f t="shared" si="3"/>
        <v>Recycled/Reused</v>
      </c>
      <c r="D55" s="66">
        <f>SUMIF($B$3:$B$30,$B55,$E$3:$E$30)*1620</f>
        <v>0</v>
      </c>
      <c r="E55" s="67" t="s">
        <v>92</v>
      </c>
    </row>
    <row r="56" spans="2:5" ht="16.5" thickBot="1" x14ac:dyDescent="0.45">
      <c r="B56" s="192" t="s">
        <v>31</v>
      </c>
      <c r="C56" s="193"/>
      <c r="D56" s="194">
        <f>SUM(D33:D55)</f>
        <v>18615</v>
      </c>
      <c r="E56" s="195"/>
    </row>
  </sheetData>
  <mergeCells count="4">
    <mergeCell ref="C1:C2"/>
    <mergeCell ref="O3:U3"/>
    <mergeCell ref="B56:C56"/>
    <mergeCell ref="D56:E56"/>
  </mergeCells>
  <dataValidations count="1">
    <dataValidation type="list" allowBlank="1" showInputMessage="1" showErrorMessage="1" sqref="B2" xr:uid="{FFD6A89E-5852-4E91-80AF-F5607D123ACF}">
      <formula1>$L$2:$L$10</formula1>
    </dataValidation>
  </dataValidations>
  <hyperlinks>
    <hyperlink ref="Q4" r:id="rId1" xr:uid="{98544077-E381-4A67-84F5-05302E3786BE}"/>
  </hyperlinks>
  <pageMargins left="0.7" right="0.7" top="0.75" bottom="0.75" header="0.3" footer="0.3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B96F1-219B-4E21-BD14-EC4559405524}">
  <sheetPr>
    <tabColor rgb="FF92D050"/>
  </sheetPr>
  <dimension ref="B1:O57"/>
  <sheetViews>
    <sheetView topLeftCell="A27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12" ht="20.25" customHeight="1" thickBot="1" x14ac:dyDescent="0.45">
      <c r="B1" s="7" t="s">
        <v>37</v>
      </c>
      <c r="C1" s="187" t="s">
        <v>38</v>
      </c>
      <c r="D1" s="8" t="s">
        <v>39</v>
      </c>
      <c r="E1" s="69"/>
    </row>
    <row r="2" spans="2:12" ht="29.5" thickBot="1" x14ac:dyDescent="0.45">
      <c r="B2" s="9" t="s">
        <v>14</v>
      </c>
      <c r="C2" s="188"/>
      <c r="D2" s="77" t="s">
        <v>106</v>
      </c>
      <c r="E2" s="11" t="s">
        <v>40</v>
      </c>
      <c r="L2" s="6" t="s">
        <v>15</v>
      </c>
    </row>
    <row r="3" spans="2:12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I3" s="1" t="s">
        <v>42</v>
      </c>
      <c r="J3" s="1" t="s">
        <v>43</v>
      </c>
      <c r="L3" s="6" t="s">
        <v>16</v>
      </c>
    </row>
    <row r="4" spans="2:12" ht="16.5" thickBot="1" x14ac:dyDescent="0.45">
      <c r="B4" s="15" t="s">
        <v>45</v>
      </c>
      <c r="C4" s="16" t="s">
        <v>46</v>
      </c>
      <c r="D4" s="71">
        <v>0</v>
      </c>
      <c r="E4" s="18">
        <f t="shared" si="0"/>
        <v>0</v>
      </c>
      <c r="F4" s="1">
        <v>30</v>
      </c>
      <c r="G4" s="1" t="s">
        <v>47</v>
      </c>
      <c r="H4" s="1">
        <v>403</v>
      </c>
      <c r="I4" s="1">
        <f>0.6*H4*F4/2</f>
        <v>3626.9999999999995</v>
      </c>
      <c r="J4" s="1">
        <f>0.4*H4*F4/2</f>
        <v>2418.0000000000005</v>
      </c>
      <c r="L4" s="6" t="s">
        <v>17</v>
      </c>
    </row>
    <row r="5" spans="2:12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31</v>
      </c>
      <c r="G5" s="1" t="s">
        <v>13</v>
      </c>
      <c r="H5" s="1">
        <v>403</v>
      </c>
      <c r="I5" s="1">
        <f t="shared" ref="I5:I15" si="1">0.6*H5*F5/2</f>
        <v>3747.8999999999996</v>
      </c>
      <c r="J5" s="1">
        <f t="shared" ref="J5:J15" si="2">0.4*H5*F5/2</f>
        <v>2498.6000000000004</v>
      </c>
      <c r="L5" s="6" t="s">
        <v>14</v>
      </c>
    </row>
    <row r="6" spans="2:12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30</v>
      </c>
      <c r="G6" s="1" t="s">
        <v>53</v>
      </c>
      <c r="H6" s="1">
        <v>403</v>
      </c>
      <c r="I6" s="1">
        <f t="shared" si="1"/>
        <v>3626.9999999999995</v>
      </c>
      <c r="J6" s="1">
        <f t="shared" si="2"/>
        <v>2418.0000000000005</v>
      </c>
      <c r="L6" s="6" t="s">
        <v>18</v>
      </c>
    </row>
    <row r="7" spans="2:12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31</v>
      </c>
      <c r="G7" s="1" t="s">
        <v>55</v>
      </c>
      <c r="H7" s="1">
        <v>403</v>
      </c>
      <c r="I7" s="1">
        <f t="shared" si="1"/>
        <v>3747.8999999999996</v>
      </c>
      <c r="J7" s="1">
        <f t="shared" si="2"/>
        <v>2498.6000000000004</v>
      </c>
      <c r="L7" s="6" t="s">
        <v>19</v>
      </c>
    </row>
    <row r="8" spans="2:12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57</v>
      </c>
      <c r="H8" s="1">
        <v>403</v>
      </c>
      <c r="I8" s="1">
        <f t="shared" si="1"/>
        <v>3747.8999999999996</v>
      </c>
      <c r="J8" s="1">
        <f t="shared" si="2"/>
        <v>2498.6000000000004</v>
      </c>
      <c r="L8" s="6" t="s">
        <v>20</v>
      </c>
    </row>
    <row r="9" spans="2:12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30</v>
      </c>
      <c r="G9" s="1" t="s">
        <v>59</v>
      </c>
      <c r="H9" s="1">
        <v>403</v>
      </c>
      <c r="I9" s="1">
        <f t="shared" si="1"/>
        <v>3626.9999999999995</v>
      </c>
      <c r="J9" s="1">
        <f t="shared" si="2"/>
        <v>2418.0000000000005</v>
      </c>
      <c r="L9" s="6" t="s">
        <v>21</v>
      </c>
    </row>
    <row r="10" spans="2:12" ht="16.5" thickBot="1" x14ac:dyDescent="0.45">
      <c r="B10" s="12" t="s">
        <v>60</v>
      </c>
      <c r="C10" s="23"/>
      <c r="D10" s="38">
        <v>447925.24</v>
      </c>
      <c r="E10" s="24">
        <f t="shared" si="0"/>
        <v>447925.24</v>
      </c>
      <c r="F10" s="1">
        <v>31</v>
      </c>
      <c r="G10" s="1" t="s">
        <v>61</v>
      </c>
      <c r="H10" s="1">
        <v>403</v>
      </c>
      <c r="I10" s="1">
        <f t="shared" si="1"/>
        <v>3747.8999999999996</v>
      </c>
      <c r="J10" s="1">
        <f t="shared" si="2"/>
        <v>2498.6000000000004</v>
      </c>
      <c r="L10" s="6" t="s">
        <v>22</v>
      </c>
    </row>
    <row r="11" spans="2:12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30</v>
      </c>
      <c r="G11" s="1" t="s">
        <v>63</v>
      </c>
      <c r="H11" s="1">
        <v>403</v>
      </c>
      <c r="I11" s="1">
        <f t="shared" si="1"/>
        <v>3626.9999999999995</v>
      </c>
      <c r="J11" s="1">
        <f t="shared" si="2"/>
        <v>2418.0000000000005</v>
      </c>
    </row>
    <row r="12" spans="2:12" x14ac:dyDescent="0.4">
      <c r="B12" s="39" t="s">
        <v>64</v>
      </c>
      <c r="C12" s="40" t="s">
        <v>46</v>
      </c>
      <c r="D12" s="74">
        <f>I16</f>
        <v>44128.5</v>
      </c>
      <c r="E12" s="41">
        <f t="shared" si="0"/>
        <v>44128.5</v>
      </c>
      <c r="F12" s="1">
        <v>31</v>
      </c>
      <c r="G12" s="1" t="s">
        <v>66</v>
      </c>
      <c r="H12" s="1">
        <v>403</v>
      </c>
      <c r="I12" s="1">
        <f t="shared" si="1"/>
        <v>3747.8999999999996</v>
      </c>
      <c r="J12" s="1">
        <f t="shared" si="2"/>
        <v>2498.6000000000004</v>
      </c>
    </row>
    <row r="13" spans="2:12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68</v>
      </c>
      <c r="H13" s="1">
        <v>403</v>
      </c>
      <c r="I13" s="1">
        <f t="shared" si="1"/>
        <v>3747.8999999999996</v>
      </c>
      <c r="J13" s="1">
        <f t="shared" si="2"/>
        <v>2498.6000000000004</v>
      </c>
    </row>
    <row r="14" spans="2:12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28</v>
      </c>
      <c r="G14" s="1" t="s">
        <v>70</v>
      </c>
      <c r="H14" s="1">
        <v>403</v>
      </c>
      <c r="I14" s="1">
        <f t="shared" si="1"/>
        <v>3385.2</v>
      </c>
      <c r="J14" s="1">
        <f t="shared" si="2"/>
        <v>2256.8000000000002</v>
      </c>
    </row>
    <row r="15" spans="2:12" x14ac:dyDescent="0.4">
      <c r="B15" s="39" t="s">
        <v>71</v>
      </c>
      <c r="C15" s="28" t="s">
        <v>46</v>
      </c>
      <c r="D15" s="74">
        <v>0</v>
      </c>
      <c r="E15" s="41">
        <f t="shared" si="0"/>
        <v>0</v>
      </c>
      <c r="F15" s="1">
        <v>31</v>
      </c>
      <c r="G15" s="1" t="s">
        <v>72</v>
      </c>
      <c r="H15" s="1">
        <v>403</v>
      </c>
      <c r="I15" s="1">
        <f t="shared" si="1"/>
        <v>3747.8999999999996</v>
      </c>
      <c r="J15" s="1">
        <f t="shared" si="2"/>
        <v>2498.6000000000004</v>
      </c>
    </row>
    <row r="16" spans="2:12" x14ac:dyDescent="0.4">
      <c r="B16" s="39" t="s">
        <v>73</v>
      </c>
      <c r="C16" s="28" t="s">
        <v>46</v>
      </c>
      <c r="D16" s="74">
        <v>131915.5</v>
      </c>
      <c r="E16" s="41">
        <f t="shared" si="0"/>
        <v>131915.5</v>
      </c>
      <c r="I16" s="1">
        <f>SUM(I4:I15)</f>
        <v>44128.5</v>
      </c>
      <c r="J16" s="1">
        <f>SUM(J4:J15)</f>
        <v>29419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54.63</v>
      </c>
      <c r="E22" s="41">
        <f t="shared" si="0"/>
        <v>54.63</v>
      </c>
    </row>
    <row r="23" spans="2:15" x14ac:dyDescent="0.4">
      <c r="B23" s="39" t="s">
        <v>80</v>
      </c>
      <c r="C23" s="28" t="s">
        <v>65</v>
      </c>
      <c r="D23" s="74">
        <f>J16</f>
        <v>29419</v>
      </c>
      <c r="E23" s="41">
        <f t="shared" si="0"/>
        <v>29419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25862</v>
      </c>
      <c r="E25" s="41">
        <f t="shared" si="0"/>
        <v>25862</v>
      </c>
    </row>
    <row r="26" spans="2:15" x14ac:dyDescent="0.4">
      <c r="B26" s="39" t="s">
        <v>83</v>
      </c>
      <c r="C26" s="28" t="s">
        <v>46</v>
      </c>
      <c r="D26" s="74">
        <v>106.68</v>
      </c>
      <c r="E26" s="41">
        <f t="shared" si="0"/>
        <v>106.68</v>
      </c>
    </row>
    <row r="27" spans="2:15" x14ac:dyDescent="0.4">
      <c r="B27" s="39" t="s">
        <v>84</v>
      </c>
      <c r="C27" s="28" t="s">
        <v>65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f>D30</f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 t="shared" ref="C33:C41" si="3">VLOOKUP($B33,$B$4:$C$30,2,0)</f>
        <v>Recycled/Reused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si="3"/>
        <v>Recycled/Reused</v>
      </c>
      <c r="D34" s="40">
        <f t="shared" ref="D34:D41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 t="str">
        <f t="shared" si="3"/>
        <v>Recycled/Reused</v>
      </c>
      <c r="D35" s="40">
        <f t="shared" si="4"/>
        <v>0</v>
      </c>
      <c r="E35" s="49" t="s">
        <v>93</v>
      </c>
      <c r="G35" s="50" t="s">
        <v>46</v>
      </c>
      <c r="H35" s="51">
        <f>SUMIFS($D$33:$D$56,$C$33:$C$56,$G35)</f>
        <v>136109.56</v>
      </c>
    </row>
    <row r="36" spans="2:15" ht="16.5" thickBot="1" x14ac:dyDescent="0.45">
      <c r="B36" s="48" t="s">
        <v>58</v>
      </c>
      <c r="C36" s="39" t="str">
        <f t="shared" si="3"/>
        <v>Recycled/Reused</v>
      </c>
      <c r="D36" s="40">
        <f t="shared" si="4"/>
        <v>0</v>
      </c>
      <c r="E36" s="49" t="s">
        <v>93</v>
      </c>
      <c r="G36" s="52" t="s">
        <v>65</v>
      </c>
      <c r="H36" s="53">
        <f>SUMIFS($D$33:$D$56,$C$33:$C$56,$G36)</f>
        <v>80667.25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D57-SUM(D35:D36)</f>
        <v>216776.81</v>
      </c>
    </row>
    <row r="38" spans="2:15" ht="32.5" thickBot="1" x14ac:dyDescent="0.45">
      <c r="B38" s="48" t="s">
        <v>64</v>
      </c>
      <c r="C38" s="39" t="str">
        <f t="shared" si="3"/>
        <v>Recycled/Reused</v>
      </c>
      <c r="D38" s="40">
        <f t="shared" si="4"/>
        <v>44128.5</v>
      </c>
      <c r="E38" s="49" t="s">
        <v>92</v>
      </c>
      <c r="G38" s="56" t="s">
        <v>94</v>
      </c>
      <c r="H38" s="75">
        <f>IF(ISERROR(H35/H37), "ZERO Waste Generated", (H35/H37))</f>
        <v>0.62787878463568125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">
        <v>65</v>
      </c>
      <c r="D42" s="40">
        <f>SUMIF($B$3:$B$30,$B42,$E$3:$E$30)*0.5</f>
        <v>65957.75</v>
      </c>
      <c r="E42" s="49" t="s">
        <v>92</v>
      </c>
      <c r="G42" s="58" t="s">
        <v>95</v>
      </c>
      <c r="H42" s="51">
        <f>D38*0.5</f>
        <v>22064.25</v>
      </c>
    </row>
    <row r="43" spans="2:15" x14ac:dyDescent="0.4">
      <c r="B43" s="48" t="s">
        <v>73</v>
      </c>
      <c r="C43" s="39" t="str">
        <f t="shared" ref="C43:C56" si="5">VLOOKUP($B43,$B$4:$C$30,2,0)</f>
        <v>Recycled/Reused</v>
      </c>
      <c r="D43" s="40">
        <f>SUMIF($B$3:$B$30,$B43,$E$3:$E$30)*0.5</f>
        <v>65957.75</v>
      </c>
      <c r="E43" s="49" t="s">
        <v>92</v>
      </c>
      <c r="G43" s="59" t="s">
        <v>96</v>
      </c>
      <c r="H43" s="60">
        <f>SUM(D41,D48,D54)</f>
        <v>0</v>
      </c>
    </row>
    <row r="44" spans="2:15" ht="16.5" thickBot="1" x14ac:dyDescent="0.45">
      <c r="B44" s="48" t="s">
        <v>74</v>
      </c>
      <c r="C44" s="39" t="str">
        <f t="shared" si="5"/>
        <v>Landfill</v>
      </c>
      <c r="D44" s="40">
        <f t="shared" ref="D44:D55" si="6">SUMIF($B$3:$B$30,$B44,$E$3:$E$30)</f>
        <v>0</v>
      </c>
      <c r="E44" s="49" t="s">
        <v>92</v>
      </c>
      <c r="G44" s="61" t="s">
        <v>97</v>
      </c>
      <c r="H44" s="62">
        <f>D55</f>
        <v>0</v>
      </c>
    </row>
    <row r="45" spans="2:15" x14ac:dyDescent="0.4">
      <c r="B45" s="48" t="s">
        <v>75</v>
      </c>
      <c r="C45" s="39" t="str">
        <f t="shared" si="5"/>
        <v>Landfill</v>
      </c>
      <c r="D45" s="40">
        <f t="shared" si="6"/>
        <v>0</v>
      </c>
      <c r="E45" s="49" t="s">
        <v>92</v>
      </c>
    </row>
    <row r="46" spans="2:15" x14ac:dyDescent="0.4">
      <c r="B46" s="48" t="s">
        <v>76</v>
      </c>
      <c r="C46" s="39" t="str">
        <f t="shared" si="5"/>
        <v>Recycled/Reused</v>
      </c>
      <c r="D46" s="40">
        <f t="shared" si="6"/>
        <v>0</v>
      </c>
      <c r="E46" s="49" t="s">
        <v>92</v>
      </c>
    </row>
    <row r="47" spans="2:15" x14ac:dyDescent="0.4">
      <c r="B47" s="48" t="s">
        <v>77</v>
      </c>
      <c r="C47" s="39" t="str">
        <f t="shared" si="5"/>
        <v>Landfill</v>
      </c>
      <c r="D47" s="40">
        <f t="shared" si="6"/>
        <v>0</v>
      </c>
      <c r="E47" s="49" t="s">
        <v>92</v>
      </c>
    </row>
    <row r="48" spans="2:15" x14ac:dyDescent="0.4">
      <c r="B48" s="48" t="s">
        <v>78</v>
      </c>
      <c r="C48" s="39" t="str">
        <f t="shared" si="5"/>
        <v>Recycled/Reused</v>
      </c>
      <c r="D48" s="40">
        <f t="shared" si="6"/>
        <v>0</v>
      </c>
      <c r="E48" s="49" t="s">
        <v>92</v>
      </c>
    </row>
    <row r="49" spans="2:5" x14ac:dyDescent="0.4">
      <c r="B49" s="48" t="s">
        <v>79</v>
      </c>
      <c r="C49" s="39" t="str">
        <f t="shared" si="5"/>
        <v>Recycled/Reused</v>
      </c>
      <c r="D49" s="40">
        <f t="shared" si="6"/>
        <v>54.63</v>
      </c>
      <c r="E49" s="49" t="s">
        <v>92</v>
      </c>
    </row>
    <row r="50" spans="2:5" x14ac:dyDescent="0.4">
      <c r="B50" s="48" t="s">
        <v>80</v>
      </c>
      <c r="C50" s="39" t="str">
        <f t="shared" si="5"/>
        <v>Landfill</v>
      </c>
      <c r="D50" s="40">
        <f>SUMIF($B$3:$B$30,$B50,$E$3:$E$30)*50%</f>
        <v>14709.5</v>
      </c>
      <c r="E50" s="49" t="s">
        <v>92</v>
      </c>
    </row>
    <row r="51" spans="2:5" x14ac:dyDescent="0.4">
      <c r="B51" s="48" t="s">
        <v>81</v>
      </c>
      <c r="C51" s="39" t="str">
        <f t="shared" si="5"/>
        <v>Recycled/Reused</v>
      </c>
      <c r="D51" s="40">
        <f>SUMIF($B$3:$B$30,$B51,$E$3:$E$30)*50%</f>
        <v>0</v>
      </c>
      <c r="E51" s="49" t="s">
        <v>92</v>
      </c>
    </row>
    <row r="52" spans="2:5" x14ac:dyDescent="0.4">
      <c r="B52" s="48" t="s">
        <v>82</v>
      </c>
      <c r="C52" s="39" t="str">
        <f t="shared" si="5"/>
        <v>Recycled/Reused</v>
      </c>
      <c r="D52" s="40">
        <f t="shared" si="6"/>
        <v>25862</v>
      </c>
      <c r="E52" s="49" t="s">
        <v>92</v>
      </c>
    </row>
    <row r="53" spans="2:5" x14ac:dyDescent="0.4">
      <c r="B53" s="48" t="s">
        <v>83</v>
      </c>
      <c r="C53" s="39" t="str">
        <f t="shared" si="5"/>
        <v>Recycled/Reused</v>
      </c>
      <c r="D53" s="40">
        <f t="shared" si="6"/>
        <v>106.68</v>
      </c>
      <c r="E53" s="49" t="s">
        <v>92</v>
      </c>
    </row>
    <row r="54" spans="2:5" x14ac:dyDescent="0.4">
      <c r="B54" s="48" t="s">
        <v>84</v>
      </c>
      <c r="C54" s="39" t="str">
        <f t="shared" si="5"/>
        <v>Landfill</v>
      </c>
      <c r="D54" s="40">
        <f t="shared" si="6"/>
        <v>0</v>
      </c>
      <c r="E54" s="49" t="s">
        <v>92</v>
      </c>
    </row>
    <row r="55" spans="2:5" x14ac:dyDescent="0.4">
      <c r="B55" s="48" t="s">
        <v>85</v>
      </c>
      <c r="C55" s="39" t="str">
        <f t="shared" si="5"/>
        <v>Recycled/Reused</v>
      </c>
      <c r="D55" s="40">
        <f t="shared" si="6"/>
        <v>0</v>
      </c>
      <c r="E55" s="49" t="s">
        <v>92</v>
      </c>
    </row>
    <row r="56" spans="2:5" ht="18.5" thickBot="1" x14ac:dyDescent="0.45">
      <c r="B56" s="64" t="s">
        <v>87</v>
      </c>
      <c r="C56" s="65" t="str">
        <f t="shared" si="5"/>
        <v>Recycled/Reused</v>
      </c>
      <c r="D56" s="66">
        <f>SUMIF($B$3:$B$30,$B56,$E$3:$E$30)*1620</f>
        <v>0</v>
      </c>
      <c r="E56" s="67" t="s">
        <v>92</v>
      </c>
    </row>
    <row r="57" spans="2:5" ht="16.5" thickBot="1" x14ac:dyDescent="0.45">
      <c r="B57" s="192" t="s">
        <v>31</v>
      </c>
      <c r="C57" s="193"/>
      <c r="D57" s="194">
        <f>SUM(D33:D56)</f>
        <v>216776.81</v>
      </c>
      <c r="E57" s="195"/>
    </row>
  </sheetData>
  <mergeCells count="3">
    <mergeCell ref="C1:C2"/>
    <mergeCell ref="B57:C57"/>
    <mergeCell ref="D57:E57"/>
  </mergeCells>
  <dataValidations count="1">
    <dataValidation type="list" allowBlank="1" showInputMessage="1" showErrorMessage="1" sqref="B2" xr:uid="{9791F042-638C-49EA-8B6E-620D242F9B79}">
      <formula1>$L$2:$L$10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18B3B-7A6C-4FCF-A81F-D4744635C635}">
  <sheetPr>
    <tabColor rgb="FF92D050"/>
  </sheetPr>
  <dimension ref="B1:O56"/>
  <sheetViews>
    <sheetView topLeftCell="A35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12" ht="20.25" customHeight="1" thickBot="1" x14ac:dyDescent="0.45">
      <c r="B1" s="7" t="s">
        <v>37</v>
      </c>
      <c r="C1" s="187" t="s">
        <v>38</v>
      </c>
      <c r="D1" s="8" t="s">
        <v>39</v>
      </c>
      <c r="E1" s="69"/>
    </row>
    <row r="2" spans="2:12" ht="29.5" thickBot="1" x14ac:dyDescent="0.45">
      <c r="B2" s="9" t="s">
        <v>14</v>
      </c>
      <c r="C2" s="188"/>
      <c r="D2" s="77" t="s">
        <v>6</v>
      </c>
      <c r="E2" s="11" t="s">
        <v>40</v>
      </c>
      <c r="L2" s="6" t="s">
        <v>15</v>
      </c>
    </row>
    <row r="3" spans="2:12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I3" s="1" t="s">
        <v>42</v>
      </c>
      <c r="J3" s="1" t="s">
        <v>43</v>
      </c>
      <c r="L3" s="6" t="s">
        <v>16</v>
      </c>
    </row>
    <row r="4" spans="2:12" ht="16.5" thickBot="1" x14ac:dyDescent="0.45">
      <c r="B4" s="15" t="s">
        <v>45</v>
      </c>
      <c r="C4" s="16" t="s">
        <v>46</v>
      </c>
      <c r="D4" s="71">
        <v>0</v>
      </c>
      <c r="E4" s="18">
        <f t="shared" si="0"/>
        <v>0</v>
      </c>
      <c r="F4" s="1">
        <v>30</v>
      </c>
      <c r="G4" s="1" t="s">
        <v>47</v>
      </c>
      <c r="H4" s="1">
        <v>159</v>
      </c>
      <c r="I4" s="1">
        <f>0.62*H4*F4/2</f>
        <v>1478.7</v>
      </c>
      <c r="J4" s="1">
        <f>0.38*H4*F4/2</f>
        <v>906.30000000000007</v>
      </c>
      <c r="L4" s="6" t="s">
        <v>17</v>
      </c>
    </row>
    <row r="5" spans="2:12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31</v>
      </c>
      <c r="G5" s="1" t="s">
        <v>13</v>
      </c>
      <c r="H5" s="1">
        <v>159</v>
      </c>
      <c r="I5" s="1">
        <f t="shared" ref="I5:I15" si="1">0.62*H5*F5/2</f>
        <v>1527.99</v>
      </c>
      <c r="J5" s="1">
        <f t="shared" ref="J5:J15" si="2">0.38*H5*F5/2</f>
        <v>936.51</v>
      </c>
      <c r="L5" s="6" t="s">
        <v>14</v>
      </c>
    </row>
    <row r="6" spans="2:12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30</v>
      </c>
      <c r="G6" s="1" t="s">
        <v>53</v>
      </c>
      <c r="H6" s="1">
        <v>159</v>
      </c>
      <c r="I6" s="1">
        <f t="shared" si="1"/>
        <v>1478.7</v>
      </c>
      <c r="J6" s="1">
        <f t="shared" si="2"/>
        <v>906.30000000000007</v>
      </c>
      <c r="L6" s="6" t="s">
        <v>18</v>
      </c>
    </row>
    <row r="7" spans="2:12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31</v>
      </c>
      <c r="G7" s="1" t="s">
        <v>55</v>
      </c>
      <c r="H7" s="1">
        <v>159</v>
      </c>
      <c r="I7" s="1">
        <f t="shared" si="1"/>
        <v>1527.99</v>
      </c>
      <c r="J7" s="1">
        <f t="shared" si="2"/>
        <v>936.51</v>
      </c>
      <c r="L7" s="6" t="s">
        <v>19</v>
      </c>
    </row>
    <row r="8" spans="2:12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57</v>
      </c>
      <c r="H8" s="1">
        <v>159</v>
      </c>
      <c r="I8" s="1">
        <f t="shared" si="1"/>
        <v>1527.99</v>
      </c>
      <c r="J8" s="1">
        <f t="shared" si="2"/>
        <v>936.51</v>
      </c>
      <c r="L8" s="6" t="s">
        <v>20</v>
      </c>
    </row>
    <row r="9" spans="2:12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30</v>
      </c>
      <c r="G9" s="1" t="s">
        <v>59</v>
      </c>
      <c r="H9" s="1">
        <v>159</v>
      </c>
      <c r="I9" s="1">
        <f t="shared" si="1"/>
        <v>1478.7</v>
      </c>
      <c r="J9" s="1">
        <f t="shared" si="2"/>
        <v>906.30000000000007</v>
      </c>
      <c r="L9" s="6" t="s">
        <v>21</v>
      </c>
    </row>
    <row r="10" spans="2:12" ht="16.5" thickBot="1" x14ac:dyDescent="0.45">
      <c r="B10" s="12" t="s">
        <v>60</v>
      </c>
      <c r="C10" s="23"/>
      <c r="D10" s="38">
        <v>3349.5</v>
      </c>
      <c r="E10" s="24">
        <f t="shared" si="0"/>
        <v>3349.5</v>
      </c>
      <c r="F10" s="1">
        <v>31</v>
      </c>
      <c r="G10" s="1" t="s">
        <v>61</v>
      </c>
      <c r="H10" s="1">
        <v>159</v>
      </c>
      <c r="I10" s="1">
        <f t="shared" si="1"/>
        <v>1527.99</v>
      </c>
      <c r="J10" s="1">
        <f t="shared" si="2"/>
        <v>936.51</v>
      </c>
      <c r="L10" s="6" t="s">
        <v>22</v>
      </c>
    </row>
    <row r="11" spans="2:12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30</v>
      </c>
      <c r="G11" s="1" t="s">
        <v>63</v>
      </c>
      <c r="H11" s="1">
        <v>159</v>
      </c>
      <c r="I11" s="1">
        <f t="shared" si="1"/>
        <v>1478.7</v>
      </c>
      <c r="J11" s="1">
        <f t="shared" si="2"/>
        <v>906.30000000000007</v>
      </c>
    </row>
    <row r="12" spans="2:12" x14ac:dyDescent="0.4">
      <c r="B12" s="39" t="s">
        <v>64</v>
      </c>
      <c r="C12" s="40" t="s">
        <v>46</v>
      </c>
      <c r="D12" s="74">
        <v>3349.5</v>
      </c>
      <c r="E12" s="41">
        <f t="shared" si="0"/>
        <v>3349.5</v>
      </c>
      <c r="F12" s="1">
        <v>31</v>
      </c>
      <c r="G12" s="1" t="s">
        <v>66</v>
      </c>
      <c r="H12" s="1">
        <v>159</v>
      </c>
      <c r="I12" s="1">
        <f t="shared" si="1"/>
        <v>1527.99</v>
      </c>
      <c r="J12" s="1">
        <f t="shared" si="2"/>
        <v>936.51</v>
      </c>
    </row>
    <row r="13" spans="2:12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68</v>
      </c>
      <c r="H13" s="1">
        <v>159</v>
      </c>
      <c r="I13" s="1">
        <f t="shared" si="1"/>
        <v>1527.99</v>
      </c>
      <c r="J13" s="1">
        <f t="shared" si="2"/>
        <v>936.51</v>
      </c>
    </row>
    <row r="14" spans="2:12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28</v>
      </c>
      <c r="G14" s="1" t="s">
        <v>70</v>
      </c>
      <c r="H14" s="1">
        <v>159</v>
      </c>
      <c r="I14" s="1">
        <f t="shared" si="1"/>
        <v>1380.12</v>
      </c>
      <c r="J14" s="1">
        <f t="shared" si="2"/>
        <v>845.88</v>
      </c>
    </row>
    <row r="15" spans="2:12" x14ac:dyDescent="0.4">
      <c r="B15" s="39" t="s">
        <v>71</v>
      </c>
      <c r="C15" s="28" t="s">
        <v>46</v>
      </c>
      <c r="D15" s="74">
        <v>0</v>
      </c>
      <c r="E15" s="41">
        <f t="shared" si="0"/>
        <v>0</v>
      </c>
      <c r="F15" s="1">
        <v>31</v>
      </c>
      <c r="G15" s="1" t="s">
        <v>72</v>
      </c>
      <c r="H15" s="1">
        <v>159</v>
      </c>
      <c r="I15" s="1">
        <f t="shared" si="1"/>
        <v>1527.99</v>
      </c>
      <c r="J15" s="1">
        <f t="shared" si="2"/>
        <v>936.51</v>
      </c>
    </row>
    <row r="16" spans="2:12" x14ac:dyDescent="0.4">
      <c r="B16" s="39" t="s">
        <v>73</v>
      </c>
      <c r="C16" s="28" t="s">
        <v>46</v>
      </c>
      <c r="D16" s="74">
        <v>0</v>
      </c>
      <c r="E16" s="41">
        <f t="shared" si="0"/>
        <v>0</v>
      </c>
      <c r="I16" s="1">
        <f>SUM(I4:I15)</f>
        <v>17990.850000000002</v>
      </c>
      <c r="J16" s="1">
        <f>SUM(J4:J15)</f>
        <v>11026.65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J16</f>
        <v>11026.65</v>
      </c>
      <c r="E23" s="41">
        <f t="shared" si="0"/>
        <v>11026.65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Recycled/Reused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5" si="3">VLOOKUP($B34,$B$4:$C$30,2,0)</f>
        <v>Recycled/Reused</v>
      </c>
      <c r="D34" s="40">
        <f t="shared" ref="D34:D54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 t="str">
        <f t="shared" si="3"/>
        <v>Recycled/Reused</v>
      </c>
      <c r="D35" s="40">
        <f t="shared" si="4"/>
        <v>0</v>
      </c>
      <c r="E35" s="49" t="s">
        <v>93</v>
      </c>
      <c r="G35" s="50" t="s">
        <v>46</v>
      </c>
      <c r="H35" s="51">
        <f>SUMIFS($D$33:$D$55,$C$33:$C$55,$G35)</f>
        <v>3349.5</v>
      </c>
    </row>
    <row r="36" spans="2:15" ht="16.5" thickBot="1" x14ac:dyDescent="0.45">
      <c r="B36" s="48" t="s">
        <v>58</v>
      </c>
      <c r="C36" s="39" t="str">
        <f t="shared" si="3"/>
        <v>Recycled/Reused</v>
      </c>
      <c r="D36" s="40">
        <f t="shared" si="4"/>
        <v>0</v>
      </c>
      <c r="E36" s="49" t="s">
        <v>93</v>
      </c>
      <c r="G36" s="52" t="s">
        <v>65</v>
      </c>
      <c r="H36" s="53">
        <f>SUMIFS($D$33:$D$55,$C$33:$C$55,$G36)</f>
        <v>11026.65</v>
      </c>
      <c r="I36" s="1">
        <f>D56-H36</f>
        <v>3349.5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D56-SUM(D35:D36)</f>
        <v>14376.15</v>
      </c>
    </row>
    <row r="38" spans="2:15" ht="32.5" thickBot="1" x14ac:dyDescent="0.45">
      <c r="B38" s="48" t="s">
        <v>64</v>
      </c>
      <c r="C38" s="39" t="s">
        <v>46</v>
      </c>
      <c r="D38" s="40">
        <f t="shared" si="4"/>
        <v>3349.5</v>
      </c>
      <c r="E38" s="49" t="s">
        <v>92</v>
      </c>
      <c r="G38" s="56" t="s">
        <v>94</v>
      </c>
      <c r="H38" s="75">
        <f>IF(ISERROR(H35/H37), "ZERO Waste Generated", (H35/H37))</f>
        <v>0.23299005644765811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 t="shared" si="4"/>
        <v>0</v>
      </c>
      <c r="E42" s="49" t="s">
        <v>92</v>
      </c>
      <c r="G42" s="58" t="s">
        <v>95</v>
      </c>
      <c r="H42" s="51">
        <f>D38*0.5</f>
        <v>1674.75</v>
      </c>
    </row>
    <row r="43" spans="2:15" x14ac:dyDescent="0.4">
      <c r="B43" s="48" t="s">
        <v>74</v>
      </c>
      <c r="C43" s="39" t="str">
        <f t="shared" si="3"/>
        <v>Landfill</v>
      </c>
      <c r="D43" s="40">
        <f t="shared" si="4"/>
        <v>0</v>
      </c>
      <c r="E43" s="49" t="s">
        <v>92</v>
      </c>
      <c r="G43" s="59" t="s">
        <v>96</v>
      </c>
      <c r="H43" s="60">
        <f>SUM(D41,D47,D53)</f>
        <v>0</v>
      </c>
    </row>
    <row r="44" spans="2:15" ht="16.5" thickBot="1" x14ac:dyDescent="0.45">
      <c r="B44" s="48" t="s">
        <v>75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D54</f>
        <v>0</v>
      </c>
    </row>
    <row r="45" spans="2:15" x14ac:dyDescent="0.4">
      <c r="B45" s="48" t="s">
        <v>76</v>
      </c>
      <c r="C45" s="39" t="str">
        <f t="shared" si="3"/>
        <v>Recycled/Reused</v>
      </c>
      <c r="D45" s="40">
        <f t="shared" si="4"/>
        <v>0</v>
      </c>
      <c r="E45" s="49" t="s">
        <v>92</v>
      </c>
    </row>
    <row r="46" spans="2:15" x14ac:dyDescent="0.4">
      <c r="B46" s="48" t="s">
        <v>77</v>
      </c>
      <c r="C46" s="39" t="str">
        <f t="shared" si="3"/>
        <v>Landfill</v>
      </c>
      <c r="D46" s="40">
        <f t="shared" si="4"/>
        <v>0</v>
      </c>
      <c r="E46" s="49" t="s">
        <v>92</v>
      </c>
    </row>
    <row r="47" spans="2:15" x14ac:dyDescent="0.4">
      <c r="B47" s="48" t="s">
        <v>78</v>
      </c>
      <c r="C47" s="39" t="str">
        <f t="shared" si="3"/>
        <v>Recycled/Reused</v>
      </c>
      <c r="D47" s="40">
        <f t="shared" si="4"/>
        <v>0</v>
      </c>
      <c r="E47" s="49" t="s">
        <v>92</v>
      </c>
    </row>
    <row r="48" spans="2:15" x14ac:dyDescent="0.4">
      <c r="B48" s="48" t="s">
        <v>79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80</v>
      </c>
      <c r="C49" s="39" t="str">
        <f t="shared" si="3"/>
        <v>Landfill</v>
      </c>
      <c r="D49" s="40">
        <f t="shared" si="4"/>
        <v>11026.65</v>
      </c>
      <c r="E49" s="49" t="s">
        <v>92</v>
      </c>
    </row>
    <row r="50" spans="2:5" x14ac:dyDescent="0.4">
      <c r="B50" s="48" t="s">
        <v>81</v>
      </c>
      <c r="C50" s="39" t="str">
        <f t="shared" si="3"/>
        <v>Recycled/Reused</v>
      </c>
      <c r="D50" s="40">
        <f t="shared" si="4"/>
        <v>0</v>
      </c>
      <c r="E50" s="49" t="s">
        <v>92</v>
      </c>
    </row>
    <row r="51" spans="2:5" x14ac:dyDescent="0.4">
      <c r="B51" s="48" t="s">
        <v>82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83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84</v>
      </c>
      <c r="C53" s="39" t="str">
        <f t="shared" si="3"/>
        <v>Recycled/Reused</v>
      </c>
      <c r="D53" s="40">
        <f t="shared" si="4"/>
        <v>0</v>
      </c>
      <c r="E53" s="49" t="s">
        <v>92</v>
      </c>
    </row>
    <row r="54" spans="2:5" x14ac:dyDescent="0.4">
      <c r="B54" s="48" t="s">
        <v>85</v>
      </c>
      <c r="C54" s="39" t="str">
        <f t="shared" si="3"/>
        <v>Recycled/Reused</v>
      </c>
      <c r="D54" s="40">
        <f t="shared" si="4"/>
        <v>0</v>
      </c>
      <c r="E54" s="49" t="s">
        <v>92</v>
      </c>
    </row>
    <row r="55" spans="2:5" ht="18.5" thickBot="1" x14ac:dyDescent="0.45">
      <c r="B55" s="64" t="s">
        <v>87</v>
      </c>
      <c r="C55" s="65" t="str">
        <f t="shared" si="3"/>
        <v>Recycled/Reused</v>
      </c>
      <c r="D55" s="66">
        <f>SUMIF($B$3:$B$30,$B55,$E$3:$E$30)*1620</f>
        <v>0</v>
      </c>
      <c r="E55" s="67" t="s">
        <v>92</v>
      </c>
    </row>
    <row r="56" spans="2:5" ht="16.5" thickBot="1" x14ac:dyDescent="0.45">
      <c r="B56" s="192" t="s">
        <v>31</v>
      </c>
      <c r="C56" s="193"/>
      <c r="D56" s="194">
        <f>SUM(D33:D55)</f>
        <v>14376.15</v>
      </c>
      <c r="E56" s="195"/>
    </row>
  </sheetData>
  <mergeCells count="3">
    <mergeCell ref="C1:C2"/>
    <mergeCell ref="B56:C56"/>
    <mergeCell ref="D56:E56"/>
  </mergeCells>
  <dataValidations count="1">
    <dataValidation type="list" allowBlank="1" showInputMessage="1" showErrorMessage="1" sqref="B2" xr:uid="{5986B6F7-E969-45BF-9BA1-4F66B02AD921}">
      <formula1>$L$2:$L$10</formula1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3F2-23A8-46DB-8D33-B213BC9AD724}">
  <sheetPr>
    <tabColor rgb="FF92D050"/>
  </sheetPr>
  <dimension ref="B1:T57"/>
  <sheetViews>
    <sheetView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20" ht="20.25" customHeight="1" thickBot="1" x14ac:dyDescent="0.45">
      <c r="B1" s="7" t="s">
        <v>37</v>
      </c>
      <c r="C1" s="187" t="s">
        <v>38</v>
      </c>
      <c r="D1" s="8" t="s">
        <v>39</v>
      </c>
      <c r="E1" s="69"/>
    </row>
    <row r="2" spans="2:20" ht="29.5" thickBot="1" x14ac:dyDescent="0.45">
      <c r="B2" s="9" t="s">
        <v>14</v>
      </c>
      <c r="C2" s="188"/>
      <c r="D2" s="77" t="s">
        <v>7</v>
      </c>
      <c r="E2" s="11" t="s">
        <v>40</v>
      </c>
      <c r="L2" s="6" t="s">
        <v>15</v>
      </c>
    </row>
    <row r="3" spans="2:20" ht="16.5" thickBot="1" x14ac:dyDescent="0.45">
      <c r="B3" s="12" t="s">
        <v>41</v>
      </c>
      <c r="C3" s="13"/>
      <c r="D3" s="83">
        <v>0</v>
      </c>
      <c r="E3" s="14">
        <f t="shared" ref="E3:E30" si="0">SUM(D3:D3)</f>
        <v>0</v>
      </c>
      <c r="M3" s="6" t="s">
        <v>17</v>
      </c>
      <c r="N3" s="189" t="s">
        <v>44</v>
      </c>
      <c r="O3" s="190"/>
      <c r="P3" s="190"/>
      <c r="Q3" s="190"/>
      <c r="R3" s="190"/>
      <c r="S3" s="190"/>
      <c r="T3" s="191"/>
    </row>
    <row r="4" spans="2:20" ht="16.5" thickBot="1" x14ac:dyDescent="0.45">
      <c r="B4" s="15" t="s">
        <v>45</v>
      </c>
      <c r="C4" s="16" t="s">
        <v>46</v>
      </c>
      <c r="D4" s="84">
        <v>0</v>
      </c>
      <c r="E4" s="18">
        <f t="shared" si="0"/>
        <v>0</v>
      </c>
      <c r="F4" s="6" t="s">
        <v>15</v>
      </c>
      <c r="J4" s="1" t="s">
        <v>42</v>
      </c>
      <c r="K4" s="1" t="s">
        <v>43</v>
      </c>
      <c r="M4" s="6" t="s">
        <v>14</v>
      </c>
      <c r="N4" s="19" t="s">
        <v>48</v>
      </c>
      <c r="O4" s="20"/>
      <c r="P4" s="21" t="s">
        <v>49</v>
      </c>
      <c r="Q4" s="20"/>
      <c r="R4" s="20"/>
      <c r="S4" s="20"/>
      <c r="T4" s="22"/>
    </row>
    <row r="5" spans="2:20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6" t="s">
        <v>16</v>
      </c>
      <c r="G5" s="1">
        <v>30</v>
      </c>
      <c r="H5" s="1" t="s">
        <v>47</v>
      </c>
      <c r="I5" s="1">
        <v>237</v>
      </c>
      <c r="J5" s="1">
        <f>0.57*I5*G5/2</f>
        <v>2026.3499999999997</v>
      </c>
      <c r="K5" s="1">
        <f>0.43*I5*G5/2</f>
        <v>1528.6499999999999</v>
      </c>
      <c r="M5" s="6" t="s">
        <v>18</v>
      </c>
      <c r="N5" s="25" t="s">
        <v>33</v>
      </c>
      <c r="O5" s="26"/>
      <c r="P5" s="26"/>
      <c r="Q5" s="26">
        <v>0.45</v>
      </c>
      <c r="R5" s="26"/>
      <c r="S5" s="26"/>
      <c r="T5" s="27" t="s">
        <v>51</v>
      </c>
    </row>
    <row r="6" spans="2:20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6" t="s">
        <v>17</v>
      </c>
      <c r="G6" s="1">
        <v>31</v>
      </c>
      <c r="H6" s="1" t="s">
        <v>13</v>
      </c>
      <c r="I6" s="1">
        <v>237</v>
      </c>
      <c r="J6" s="1">
        <f t="shared" ref="J6:J16" si="1">0.57*I6*G6/2</f>
        <v>2093.8949999999995</v>
      </c>
      <c r="K6" s="1">
        <f t="shared" ref="K6:K16" si="2">0.43*I6*G6/2</f>
        <v>1579.605</v>
      </c>
      <c r="M6" s="6" t="s">
        <v>19</v>
      </c>
      <c r="N6" s="25" t="s">
        <v>36</v>
      </c>
      <c r="O6" s="26"/>
      <c r="P6" s="26"/>
      <c r="Q6" s="26">
        <v>0.46</v>
      </c>
      <c r="R6" s="26"/>
      <c r="S6" s="26"/>
      <c r="T6" s="27" t="s">
        <v>51</v>
      </c>
    </row>
    <row r="7" spans="2:20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6" t="s">
        <v>14</v>
      </c>
      <c r="G7" s="1">
        <v>30</v>
      </c>
      <c r="H7" s="1" t="s">
        <v>53</v>
      </c>
      <c r="I7" s="1">
        <v>237</v>
      </c>
      <c r="J7" s="1">
        <f t="shared" si="1"/>
        <v>2026.3499999999997</v>
      </c>
      <c r="K7" s="1">
        <f t="shared" si="2"/>
        <v>1528.6499999999999</v>
      </c>
      <c r="M7" s="6" t="s">
        <v>20</v>
      </c>
      <c r="N7" s="25" t="s">
        <v>32</v>
      </c>
      <c r="O7" s="26"/>
      <c r="P7" s="26"/>
      <c r="Q7" s="26">
        <v>0.62</v>
      </c>
      <c r="R7" s="26"/>
      <c r="S7" s="26"/>
      <c r="T7" s="27" t="s">
        <v>51</v>
      </c>
    </row>
    <row r="8" spans="2:20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6" t="s">
        <v>18</v>
      </c>
      <c r="G8" s="1">
        <v>31</v>
      </c>
      <c r="H8" s="1" t="s">
        <v>55</v>
      </c>
      <c r="I8" s="1">
        <v>237</v>
      </c>
      <c r="J8" s="1">
        <f t="shared" si="1"/>
        <v>2093.8949999999995</v>
      </c>
      <c r="K8" s="1">
        <f t="shared" si="2"/>
        <v>1579.605</v>
      </c>
      <c r="M8" s="6" t="s">
        <v>21</v>
      </c>
      <c r="N8" s="25" t="s">
        <v>35</v>
      </c>
      <c r="O8" s="26"/>
      <c r="P8" s="26"/>
      <c r="Q8" s="26">
        <v>0.39</v>
      </c>
      <c r="R8" s="26"/>
      <c r="S8" s="26"/>
      <c r="T8" s="27" t="s">
        <v>51</v>
      </c>
    </row>
    <row r="9" spans="2:20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6" t="s">
        <v>19</v>
      </c>
      <c r="G9" s="1">
        <v>31</v>
      </c>
      <c r="H9" s="1" t="s">
        <v>57</v>
      </c>
      <c r="I9" s="1">
        <v>237</v>
      </c>
      <c r="J9" s="1">
        <f t="shared" si="1"/>
        <v>2093.8949999999995</v>
      </c>
      <c r="K9" s="1">
        <f t="shared" si="2"/>
        <v>1579.605</v>
      </c>
      <c r="M9" s="6" t="s">
        <v>22</v>
      </c>
      <c r="N9" s="35" t="s">
        <v>34</v>
      </c>
      <c r="O9" s="36"/>
      <c r="P9" s="36"/>
      <c r="Q9" s="36">
        <v>0.56999999999999995</v>
      </c>
      <c r="R9" s="36"/>
      <c r="S9" s="36"/>
      <c r="T9" s="37" t="s">
        <v>51</v>
      </c>
    </row>
    <row r="10" spans="2:20" ht="16.5" thickBot="1" x14ac:dyDescent="0.45">
      <c r="B10" s="12" t="s">
        <v>60</v>
      </c>
      <c r="C10" s="23"/>
      <c r="D10" s="38">
        <v>29946.7</v>
      </c>
      <c r="E10" s="24">
        <f t="shared" si="0"/>
        <v>29946.7</v>
      </c>
      <c r="F10" s="6" t="s">
        <v>20</v>
      </c>
      <c r="G10" s="1">
        <v>30</v>
      </c>
      <c r="H10" s="1" t="s">
        <v>59</v>
      </c>
      <c r="I10" s="1">
        <v>237</v>
      </c>
      <c r="J10" s="1">
        <f t="shared" si="1"/>
        <v>2026.3499999999997</v>
      </c>
      <c r="K10" s="1">
        <f t="shared" si="2"/>
        <v>1528.6499999999999</v>
      </c>
    </row>
    <row r="11" spans="2:20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6" t="s">
        <v>21</v>
      </c>
      <c r="G11" s="1">
        <v>31</v>
      </c>
      <c r="H11" s="1" t="s">
        <v>61</v>
      </c>
      <c r="I11" s="1">
        <v>237</v>
      </c>
      <c r="J11" s="1">
        <f t="shared" si="1"/>
        <v>2093.8949999999995</v>
      </c>
      <c r="K11" s="1">
        <f t="shared" si="2"/>
        <v>1579.605</v>
      </c>
    </row>
    <row r="12" spans="2:20" x14ac:dyDescent="0.4">
      <c r="B12" s="39" t="s">
        <v>64</v>
      </c>
      <c r="C12" s="28" t="s">
        <v>46</v>
      </c>
      <c r="D12" s="41">
        <v>391.7</v>
      </c>
      <c r="E12" s="41">
        <f t="shared" si="0"/>
        <v>391.7</v>
      </c>
      <c r="F12" s="6" t="s">
        <v>22</v>
      </c>
      <c r="G12" s="1">
        <v>30</v>
      </c>
      <c r="H12" s="1" t="s">
        <v>63</v>
      </c>
      <c r="I12" s="1">
        <v>237</v>
      </c>
      <c r="J12" s="1">
        <f t="shared" si="1"/>
        <v>2026.3499999999997</v>
      </c>
      <c r="K12" s="1">
        <f t="shared" si="2"/>
        <v>1528.6499999999999</v>
      </c>
    </row>
    <row r="13" spans="2:20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G13" s="1">
        <v>31</v>
      </c>
      <c r="H13" s="1" t="s">
        <v>66</v>
      </c>
      <c r="I13" s="1">
        <v>237</v>
      </c>
      <c r="J13" s="1">
        <f t="shared" si="1"/>
        <v>2093.8949999999995</v>
      </c>
      <c r="K13" s="1">
        <f t="shared" si="2"/>
        <v>1579.605</v>
      </c>
    </row>
    <row r="14" spans="2:20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G14" s="1">
        <v>31</v>
      </c>
      <c r="H14" s="1" t="s">
        <v>68</v>
      </c>
      <c r="I14" s="1">
        <v>237</v>
      </c>
      <c r="J14" s="1">
        <f t="shared" si="1"/>
        <v>2093.8949999999995</v>
      </c>
      <c r="K14" s="1">
        <f t="shared" si="2"/>
        <v>1579.605</v>
      </c>
    </row>
    <row r="15" spans="2:20" x14ac:dyDescent="0.4">
      <c r="B15" s="39" t="s">
        <v>71</v>
      </c>
      <c r="C15" s="28" t="s">
        <v>46</v>
      </c>
      <c r="D15" s="74">
        <v>0</v>
      </c>
      <c r="E15" s="41">
        <f t="shared" si="0"/>
        <v>0</v>
      </c>
      <c r="G15" s="1">
        <v>28</v>
      </c>
      <c r="H15" s="1" t="s">
        <v>70</v>
      </c>
      <c r="I15" s="1">
        <v>237</v>
      </c>
      <c r="J15" s="1">
        <f t="shared" si="1"/>
        <v>1891.2599999999998</v>
      </c>
      <c r="K15" s="1">
        <f t="shared" si="2"/>
        <v>1426.74</v>
      </c>
    </row>
    <row r="16" spans="2:20" x14ac:dyDescent="0.4">
      <c r="B16" s="39" t="s">
        <v>73</v>
      </c>
      <c r="C16" s="28" t="s">
        <v>46</v>
      </c>
      <c r="D16" s="74"/>
      <c r="E16" s="41">
        <f t="shared" si="0"/>
        <v>0</v>
      </c>
      <c r="G16" s="1">
        <v>31</v>
      </c>
      <c r="H16" s="1" t="s">
        <v>72</v>
      </c>
      <c r="I16" s="1">
        <v>237</v>
      </c>
      <c r="J16" s="1">
        <f t="shared" si="1"/>
        <v>2093.8949999999995</v>
      </c>
      <c r="K16" s="1">
        <f t="shared" si="2"/>
        <v>1579.605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  <c r="J17" s="1">
        <f>SUM(J5:J16)</f>
        <v>24653.924999999996</v>
      </c>
      <c r="K17" s="1">
        <f>SUM(K5:K16)</f>
        <v>18598.574999999997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29555</v>
      </c>
      <c r="E19" s="41">
        <f t="shared" si="0"/>
        <v>29555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41">
        <f>K17</f>
        <v>18598.574999999997</v>
      </c>
      <c r="E23" s="41">
        <f t="shared" si="0"/>
        <v>18598.574999999997</v>
      </c>
    </row>
    <row r="24" spans="2:15" x14ac:dyDescent="0.4">
      <c r="B24" s="39" t="s">
        <v>81</v>
      </c>
      <c r="C24" s="28" t="s">
        <v>65</v>
      </c>
      <c r="D24" s="79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/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Recycled/Reused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6" si="3">VLOOKUP($B34,$B$4:$C$30,2,0)</f>
        <v>Recycled/Reused</v>
      </c>
      <c r="D34" s="40">
        <f t="shared" ref="D34:D55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 t="str">
        <f t="shared" si="3"/>
        <v>Recycled/Reused</v>
      </c>
      <c r="D35" s="40">
        <f t="shared" si="4"/>
        <v>0</v>
      </c>
      <c r="E35" s="49" t="s">
        <v>93</v>
      </c>
      <c r="G35" s="50" t="s">
        <v>46</v>
      </c>
      <c r="H35" s="51">
        <f>SUMIFS($D$33:$D$56,$C$33:$C$56,$G35)</f>
        <v>29946.7</v>
      </c>
    </row>
    <row r="36" spans="2:15" ht="16.5" thickBot="1" x14ac:dyDescent="0.45">
      <c r="B36" s="48" t="s">
        <v>58</v>
      </c>
      <c r="C36" s="39" t="str">
        <f t="shared" si="3"/>
        <v>Recycled/Reused</v>
      </c>
      <c r="D36" s="40">
        <f t="shared" si="4"/>
        <v>0</v>
      </c>
      <c r="E36" s="49" t="s">
        <v>93</v>
      </c>
      <c r="G36" s="52" t="s">
        <v>65</v>
      </c>
      <c r="H36" s="53">
        <f>SUMIFS($D$33:$D$56,$C$33:$C$56,$G36)</f>
        <v>18598.574999999997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D57-SUM(D35:D36)</f>
        <v>48545.274999999994</v>
      </c>
    </row>
    <row r="38" spans="2:15" ht="32.5" thickBot="1" x14ac:dyDescent="0.45">
      <c r="B38" s="48" t="s">
        <v>64</v>
      </c>
      <c r="C38" s="39" t="str">
        <f t="shared" si="3"/>
        <v>Recycled/Reused</v>
      </c>
      <c r="D38" s="40">
        <f t="shared" si="4"/>
        <v>391.7</v>
      </c>
      <c r="E38" s="49" t="s">
        <v>92</v>
      </c>
      <c r="G38" s="56" t="s">
        <v>94</v>
      </c>
      <c r="H38" s="75">
        <f>IF(ISERROR(H35/H37), "ZERO Waste Generated", (H35/H37))</f>
        <v>0.61688186955373114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">
        <v>65</v>
      </c>
      <c r="D42" s="40">
        <f>SUMIF($B$3:$B$30,$B42,$E$3:$E$30)*0.5</f>
        <v>0</v>
      </c>
      <c r="E42" s="49" t="s">
        <v>92</v>
      </c>
      <c r="G42" s="58" t="s">
        <v>95</v>
      </c>
      <c r="H42" s="51">
        <f>D38*0.5</f>
        <v>195.85</v>
      </c>
    </row>
    <row r="43" spans="2:15" x14ac:dyDescent="0.4">
      <c r="B43" s="48" t="s">
        <v>73</v>
      </c>
      <c r="C43" s="39" t="str">
        <f t="shared" si="3"/>
        <v>Recycled/Reused</v>
      </c>
      <c r="D43" s="40">
        <f>SUMIF($B$3:$B$30,$B43,$E$3:$E$30)*0.5</f>
        <v>0</v>
      </c>
      <c r="E43" s="49" t="s">
        <v>92</v>
      </c>
      <c r="G43" s="59" t="s">
        <v>96</v>
      </c>
      <c r="H43" s="60">
        <f>SUM(D41,D48,D54)</f>
        <v>0</v>
      </c>
    </row>
    <row r="44" spans="2:15" ht="16.5" thickBot="1" x14ac:dyDescent="0.45">
      <c r="B44" s="48" t="s">
        <v>74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D55</f>
        <v>0</v>
      </c>
    </row>
    <row r="45" spans="2:15" x14ac:dyDescent="0.4">
      <c r="B45" s="48" t="s">
        <v>75</v>
      </c>
      <c r="C45" s="39" t="str">
        <f t="shared" si="3"/>
        <v>Landfill</v>
      </c>
      <c r="D45" s="40">
        <f t="shared" si="4"/>
        <v>0</v>
      </c>
      <c r="E45" s="49" t="s">
        <v>92</v>
      </c>
    </row>
    <row r="46" spans="2:15" x14ac:dyDescent="0.4">
      <c r="B46" s="48" t="s">
        <v>76</v>
      </c>
      <c r="C46" s="39" t="str">
        <f t="shared" si="3"/>
        <v>Recycled/Reused</v>
      </c>
      <c r="D46" s="40">
        <f t="shared" si="4"/>
        <v>29555</v>
      </c>
      <c r="E46" s="49" t="s">
        <v>92</v>
      </c>
    </row>
    <row r="47" spans="2:15" x14ac:dyDescent="0.4">
      <c r="B47" s="48" t="s">
        <v>77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78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79</v>
      </c>
      <c r="C49" s="39" t="str">
        <f t="shared" si="3"/>
        <v>Recycled/Reused</v>
      </c>
      <c r="D49" s="40">
        <f t="shared" si="4"/>
        <v>0</v>
      </c>
      <c r="E49" s="49" t="s">
        <v>92</v>
      </c>
    </row>
    <row r="50" spans="2:5" x14ac:dyDescent="0.4">
      <c r="B50" s="48" t="s">
        <v>80</v>
      </c>
      <c r="C50" s="39" t="s">
        <v>65</v>
      </c>
      <c r="D50" s="40">
        <f t="shared" si="4"/>
        <v>18598.574999999997</v>
      </c>
      <c r="E50" s="49" t="s">
        <v>92</v>
      </c>
    </row>
    <row r="51" spans="2:5" x14ac:dyDescent="0.4">
      <c r="B51" s="48" t="s">
        <v>81</v>
      </c>
      <c r="C51" s="39" t="str">
        <f t="shared" si="3"/>
        <v>Landfill</v>
      </c>
      <c r="D51" s="40">
        <f t="shared" si="4"/>
        <v>0</v>
      </c>
      <c r="E51" s="49" t="s">
        <v>92</v>
      </c>
    </row>
    <row r="52" spans="2:5" x14ac:dyDescent="0.4">
      <c r="B52" s="48" t="s">
        <v>82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83</v>
      </c>
      <c r="C53" s="39" t="str">
        <f t="shared" si="3"/>
        <v>Recycled/Reused</v>
      </c>
      <c r="D53" s="40">
        <f t="shared" si="4"/>
        <v>0</v>
      </c>
      <c r="E53" s="49" t="s">
        <v>92</v>
      </c>
    </row>
    <row r="54" spans="2:5" x14ac:dyDescent="0.4">
      <c r="B54" s="48" t="s">
        <v>84</v>
      </c>
      <c r="C54" s="39" t="str">
        <f t="shared" si="3"/>
        <v>Recycled/Reused</v>
      </c>
      <c r="D54" s="40">
        <f t="shared" si="4"/>
        <v>0</v>
      </c>
      <c r="E54" s="49" t="s">
        <v>92</v>
      </c>
    </row>
    <row r="55" spans="2:5" x14ac:dyDescent="0.4">
      <c r="B55" s="48" t="s">
        <v>85</v>
      </c>
      <c r="C55" s="39" t="str">
        <f t="shared" si="3"/>
        <v>Recycled/Reused</v>
      </c>
      <c r="D55" s="40">
        <f t="shared" si="4"/>
        <v>0</v>
      </c>
      <c r="E55" s="49" t="s">
        <v>92</v>
      </c>
    </row>
    <row r="56" spans="2:5" ht="18.5" thickBot="1" x14ac:dyDescent="0.45">
      <c r="B56" s="64" t="s">
        <v>87</v>
      </c>
      <c r="C56" s="65" t="str">
        <f t="shared" si="3"/>
        <v>Recycled/Reused</v>
      </c>
      <c r="D56" s="66">
        <f>SUMIF($B$3:$B$30,$B56,$E$3:$E$30)*1620</f>
        <v>0</v>
      </c>
      <c r="E56" s="67" t="s">
        <v>92</v>
      </c>
    </row>
    <row r="57" spans="2:5" ht="16.5" thickBot="1" x14ac:dyDescent="0.45">
      <c r="B57" s="192" t="s">
        <v>31</v>
      </c>
      <c r="C57" s="193"/>
      <c r="D57" s="194">
        <f>SUM(D33:D56)</f>
        <v>48545.274999999994</v>
      </c>
      <c r="E57" s="195"/>
    </row>
  </sheetData>
  <mergeCells count="4">
    <mergeCell ref="C1:C2"/>
    <mergeCell ref="N3:T3"/>
    <mergeCell ref="B57:C57"/>
    <mergeCell ref="D57:E57"/>
  </mergeCells>
  <dataValidations count="1">
    <dataValidation type="list" allowBlank="1" showInputMessage="1" showErrorMessage="1" sqref="B2" xr:uid="{B9C797E1-EDFC-4CE0-A1DD-7C0BCECE5C16}">
      <formula1>$F$4:$F$12</formula1>
    </dataValidation>
  </dataValidations>
  <hyperlinks>
    <hyperlink ref="P4" r:id="rId1" xr:uid="{3A187A8A-B621-4A12-8659-38D124CB94E9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64A8-E203-43DF-957A-0099A78A5D94}">
  <sheetPr>
    <tabColor rgb="FF92D050"/>
  </sheetPr>
  <dimension ref="B1:O57"/>
  <sheetViews>
    <sheetView topLeftCell="A34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12" ht="20.25" customHeight="1" thickBot="1" x14ac:dyDescent="0.45">
      <c r="B1" s="7" t="s">
        <v>37</v>
      </c>
      <c r="C1" s="187" t="s">
        <v>38</v>
      </c>
      <c r="D1" s="8" t="s">
        <v>39</v>
      </c>
      <c r="E1" s="69"/>
    </row>
    <row r="2" spans="2:12" ht="29.5" thickBot="1" x14ac:dyDescent="0.45">
      <c r="B2" s="9" t="s">
        <v>17</v>
      </c>
      <c r="C2" s="188"/>
      <c r="D2" s="77" t="s">
        <v>8</v>
      </c>
      <c r="E2" s="11" t="s">
        <v>40</v>
      </c>
      <c r="L2" s="6" t="s">
        <v>15</v>
      </c>
    </row>
    <row r="3" spans="2:12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L3" s="6" t="s">
        <v>16</v>
      </c>
    </row>
    <row r="4" spans="2:12" ht="16.5" thickBot="1" x14ac:dyDescent="0.45">
      <c r="B4" s="15" t="s">
        <v>45</v>
      </c>
      <c r="C4" s="16" t="s">
        <v>46</v>
      </c>
      <c r="D4" s="71">
        <v>0</v>
      </c>
      <c r="E4" s="18">
        <f t="shared" si="0"/>
        <v>0</v>
      </c>
      <c r="L4" s="6" t="s">
        <v>17</v>
      </c>
    </row>
    <row r="5" spans="2:12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L5" s="6" t="s">
        <v>14</v>
      </c>
    </row>
    <row r="6" spans="2:12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I6" s="1" t="s">
        <v>42</v>
      </c>
      <c r="J6" s="1" t="s">
        <v>43</v>
      </c>
      <c r="L6" s="6" t="s">
        <v>18</v>
      </c>
    </row>
    <row r="7" spans="2:12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30</v>
      </c>
      <c r="G7" s="1" t="s">
        <v>47</v>
      </c>
      <c r="H7" s="1">
        <v>55</v>
      </c>
      <c r="I7" s="1">
        <f>0.45*H7*F7/2</f>
        <v>371.25</v>
      </c>
      <c r="J7" s="1">
        <f>0.55*H7*F7/2</f>
        <v>453.75000000000006</v>
      </c>
      <c r="L7" s="6" t="s">
        <v>19</v>
      </c>
    </row>
    <row r="8" spans="2:12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13</v>
      </c>
      <c r="H8" s="1">
        <v>55</v>
      </c>
      <c r="I8" s="1">
        <f t="shared" ref="I8:I18" si="1">0.45*H8*F8/2</f>
        <v>383.625</v>
      </c>
      <c r="J8" s="1">
        <f t="shared" ref="J8:J18" si="2">0.55*H8*F8/2</f>
        <v>468.87500000000006</v>
      </c>
      <c r="L8" s="6" t="s">
        <v>20</v>
      </c>
    </row>
    <row r="9" spans="2:12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30</v>
      </c>
      <c r="G9" s="1" t="s">
        <v>53</v>
      </c>
      <c r="H9" s="1">
        <v>45</v>
      </c>
      <c r="I9" s="1">
        <f t="shared" si="1"/>
        <v>303.75</v>
      </c>
      <c r="J9" s="1">
        <f t="shared" si="2"/>
        <v>371.25000000000006</v>
      </c>
      <c r="L9" s="6" t="s">
        <v>21</v>
      </c>
    </row>
    <row r="10" spans="2:12" ht="16.5" thickBot="1" x14ac:dyDescent="0.45">
      <c r="B10" s="12" t="s">
        <v>60</v>
      </c>
      <c r="C10" s="23"/>
      <c r="D10" s="38">
        <v>7665.75</v>
      </c>
      <c r="E10" s="24">
        <f t="shared" si="0"/>
        <v>7665.75</v>
      </c>
      <c r="F10" s="1">
        <v>31</v>
      </c>
      <c r="G10" s="1" t="s">
        <v>55</v>
      </c>
      <c r="H10" s="1">
        <v>45</v>
      </c>
      <c r="I10" s="1">
        <f t="shared" si="1"/>
        <v>313.875</v>
      </c>
      <c r="J10" s="1">
        <f t="shared" si="2"/>
        <v>383.62500000000006</v>
      </c>
      <c r="L10" s="6" t="s">
        <v>22</v>
      </c>
    </row>
    <row r="11" spans="2:12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31</v>
      </c>
      <c r="G11" s="1" t="s">
        <v>57</v>
      </c>
      <c r="H11" s="1">
        <v>45</v>
      </c>
      <c r="I11" s="1">
        <f t="shared" si="1"/>
        <v>313.875</v>
      </c>
      <c r="J11" s="1">
        <f t="shared" si="2"/>
        <v>383.62500000000006</v>
      </c>
    </row>
    <row r="12" spans="2:12" x14ac:dyDescent="0.4">
      <c r="B12" s="39" t="s">
        <v>64</v>
      </c>
      <c r="C12" s="40" t="s">
        <v>65</v>
      </c>
      <c r="D12" s="41">
        <v>3832.875</v>
      </c>
      <c r="E12" s="41">
        <f t="shared" si="0"/>
        <v>3832.875</v>
      </c>
      <c r="F12" s="1">
        <v>30</v>
      </c>
      <c r="G12" s="1" t="s">
        <v>59</v>
      </c>
      <c r="H12" s="1">
        <v>45</v>
      </c>
      <c r="I12" s="1">
        <f t="shared" si="1"/>
        <v>303.75</v>
      </c>
      <c r="J12" s="1">
        <f t="shared" si="2"/>
        <v>371.25000000000006</v>
      </c>
    </row>
    <row r="13" spans="2:12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61</v>
      </c>
      <c r="H13" s="1">
        <v>45</v>
      </c>
      <c r="I13" s="1">
        <f t="shared" si="1"/>
        <v>313.875</v>
      </c>
      <c r="J13" s="1">
        <f t="shared" si="2"/>
        <v>383.62500000000006</v>
      </c>
    </row>
    <row r="14" spans="2:12" x14ac:dyDescent="0.4">
      <c r="B14" s="39" t="s">
        <v>69</v>
      </c>
      <c r="C14" s="28" t="s">
        <v>65</v>
      </c>
      <c r="D14" s="74">
        <v>0</v>
      </c>
      <c r="E14" s="41">
        <f t="shared" si="0"/>
        <v>0</v>
      </c>
      <c r="F14" s="1">
        <v>30</v>
      </c>
      <c r="G14" s="1" t="s">
        <v>63</v>
      </c>
      <c r="H14" s="1">
        <v>45</v>
      </c>
      <c r="I14" s="1">
        <f t="shared" si="1"/>
        <v>303.75</v>
      </c>
      <c r="J14" s="1">
        <f t="shared" si="2"/>
        <v>371.25000000000006</v>
      </c>
    </row>
    <row r="15" spans="2:12" x14ac:dyDescent="0.4">
      <c r="B15" s="39" t="s">
        <v>71</v>
      </c>
      <c r="C15" s="28" t="s">
        <v>46</v>
      </c>
      <c r="D15" s="74">
        <v>0</v>
      </c>
      <c r="E15" s="41">
        <f t="shared" si="0"/>
        <v>0</v>
      </c>
      <c r="F15" s="1">
        <v>31</v>
      </c>
      <c r="G15" s="1" t="s">
        <v>66</v>
      </c>
      <c r="H15" s="1">
        <v>45</v>
      </c>
      <c r="I15" s="1">
        <f t="shared" si="1"/>
        <v>313.875</v>
      </c>
      <c r="J15" s="1">
        <f t="shared" si="2"/>
        <v>383.62500000000006</v>
      </c>
    </row>
    <row r="16" spans="2:12" x14ac:dyDescent="0.4">
      <c r="B16" s="39" t="s">
        <v>73</v>
      </c>
      <c r="C16" s="28" t="s">
        <v>65</v>
      </c>
      <c r="D16" s="74">
        <v>0</v>
      </c>
      <c r="E16" s="41">
        <f t="shared" si="0"/>
        <v>0</v>
      </c>
      <c r="F16" s="1">
        <v>31</v>
      </c>
      <c r="G16" s="1" t="s">
        <v>68</v>
      </c>
      <c r="H16" s="1">
        <v>45</v>
      </c>
      <c r="I16" s="1">
        <f t="shared" si="1"/>
        <v>313.875</v>
      </c>
      <c r="J16" s="1">
        <f t="shared" si="2"/>
        <v>383.62500000000006</v>
      </c>
    </row>
    <row r="17" spans="2:15" x14ac:dyDescent="0.4">
      <c r="B17" s="39" t="s">
        <v>74</v>
      </c>
      <c r="C17" s="40" t="s">
        <v>46</v>
      </c>
      <c r="D17" s="74">
        <v>0</v>
      </c>
      <c r="E17" s="41">
        <f t="shared" si="0"/>
        <v>0</v>
      </c>
      <c r="F17" s="1">
        <v>28</v>
      </c>
      <c r="G17" s="1" t="s">
        <v>70</v>
      </c>
      <c r="H17" s="1">
        <v>45</v>
      </c>
      <c r="I17" s="1">
        <f t="shared" si="1"/>
        <v>283.5</v>
      </c>
      <c r="J17" s="1">
        <f t="shared" si="2"/>
        <v>346.50000000000006</v>
      </c>
    </row>
    <row r="18" spans="2:15" x14ac:dyDescent="0.4">
      <c r="B18" s="39" t="s">
        <v>75</v>
      </c>
      <c r="C18" s="40" t="s">
        <v>46</v>
      </c>
      <c r="D18" s="74">
        <v>0</v>
      </c>
      <c r="E18" s="41">
        <f t="shared" si="0"/>
        <v>0</v>
      </c>
      <c r="F18" s="1">
        <v>31</v>
      </c>
      <c r="G18" s="1" t="s">
        <v>72</v>
      </c>
      <c r="H18" s="1">
        <v>45</v>
      </c>
      <c r="I18" s="1">
        <f t="shared" si="1"/>
        <v>313.875</v>
      </c>
      <c r="J18" s="1">
        <f t="shared" si="2"/>
        <v>383.62500000000006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  <c r="I19" s="1">
        <f>SUM(I7:I18)</f>
        <v>3832.875</v>
      </c>
      <c r="J19" s="1">
        <f>SUM(J7:J18)</f>
        <v>4684.6250000000009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v>3832.875</v>
      </c>
      <c r="E23" s="41">
        <f t="shared" si="0"/>
        <v>3832.875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65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Recycled/Reused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6" si="3">VLOOKUP($B34,$B$4:$C$30,2,0)</f>
        <v>Recycled/Reused</v>
      </c>
      <c r="D34" s="40">
        <f t="shared" ref="D34:D56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 t="str">
        <f t="shared" si="3"/>
        <v>Recycled/Reused</v>
      </c>
      <c r="D35" s="40">
        <f t="shared" si="4"/>
        <v>0</v>
      </c>
      <c r="E35" s="49" t="s">
        <v>93</v>
      </c>
      <c r="G35" s="50" t="s">
        <v>46</v>
      </c>
      <c r="H35" s="51">
        <f>SUMIFS($D$33:$D$56,$C$33:$C$56,$G35)</f>
        <v>0</v>
      </c>
    </row>
    <row r="36" spans="2:15" ht="16.5" thickBot="1" x14ac:dyDescent="0.45">
      <c r="B36" s="48" t="s">
        <v>58</v>
      </c>
      <c r="C36" s="39" t="str">
        <f t="shared" si="3"/>
        <v>Recycled/Reused</v>
      </c>
      <c r="D36" s="40">
        <f t="shared" si="4"/>
        <v>0</v>
      </c>
      <c r="E36" s="49" t="s">
        <v>93</v>
      </c>
      <c r="G36" s="52" t="s">
        <v>65</v>
      </c>
      <c r="H36" s="53">
        <f>SUMIFS($D$33:$D$56,$C$33:$C$56,$G36)</f>
        <v>7665.75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D57-SUM(D35:D36)</f>
        <v>7665.75</v>
      </c>
    </row>
    <row r="38" spans="2:15" ht="32.5" thickBot="1" x14ac:dyDescent="0.45">
      <c r="B38" s="48" t="s">
        <v>64</v>
      </c>
      <c r="C38" s="39" t="str">
        <f t="shared" si="3"/>
        <v>Landfill</v>
      </c>
      <c r="D38" s="85">
        <f t="shared" si="4"/>
        <v>3832.875</v>
      </c>
      <c r="E38" s="49" t="s">
        <v>92</v>
      </c>
      <c r="G38" s="56" t="s">
        <v>94</v>
      </c>
      <c r="H38" s="75">
        <f>IF(ISERROR(H35/H37), "ZERO Waste Generated", (H35/H37))</f>
        <v>0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Landfill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">
        <v>46</v>
      </c>
      <c r="D42" s="40">
        <f>SUMIF($B$3:$B$30,$B42,$E$3:$E$30)*0.5</f>
        <v>0</v>
      </c>
      <c r="E42" s="49" t="s">
        <v>92</v>
      </c>
      <c r="G42" s="58" t="s">
        <v>95</v>
      </c>
      <c r="H42" s="51">
        <f>D38*0.5</f>
        <v>1916.4375</v>
      </c>
    </row>
    <row r="43" spans="2:15" x14ac:dyDescent="0.4">
      <c r="B43" s="48" t="s">
        <v>73</v>
      </c>
      <c r="C43" s="39" t="str">
        <f t="shared" si="3"/>
        <v>Landfill</v>
      </c>
      <c r="D43" s="40">
        <f>SUMIF($B$3:$B$30,$B43,$E$3:$E$30)*0.5</f>
        <v>0</v>
      </c>
      <c r="E43" s="49" t="s">
        <v>92</v>
      </c>
      <c r="G43" s="59" t="s">
        <v>96</v>
      </c>
      <c r="H43" s="60">
        <f>SUM(D41,D48,D54)</f>
        <v>0</v>
      </c>
    </row>
    <row r="44" spans="2:15" ht="16.5" thickBot="1" x14ac:dyDescent="0.45">
      <c r="B44" s="48" t="s">
        <v>74</v>
      </c>
      <c r="C44" s="39" t="str">
        <f t="shared" si="3"/>
        <v>Recycled/Reused</v>
      </c>
      <c r="D44" s="40">
        <f t="shared" si="4"/>
        <v>0</v>
      </c>
      <c r="E44" s="49" t="s">
        <v>92</v>
      </c>
      <c r="G44" s="61" t="s">
        <v>97</v>
      </c>
      <c r="H44" s="62">
        <f>D55</f>
        <v>0</v>
      </c>
    </row>
    <row r="45" spans="2:15" x14ac:dyDescent="0.4">
      <c r="B45" s="48" t="s">
        <v>75</v>
      </c>
      <c r="C45" s="39" t="str">
        <f t="shared" si="3"/>
        <v>Recycled/Reused</v>
      </c>
      <c r="D45" s="40">
        <f t="shared" si="4"/>
        <v>0</v>
      </c>
      <c r="E45" s="49" t="s">
        <v>92</v>
      </c>
    </row>
    <row r="46" spans="2:15" x14ac:dyDescent="0.4">
      <c r="B46" s="48" t="s">
        <v>76</v>
      </c>
      <c r="C46" s="39" t="str">
        <f t="shared" si="3"/>
        <v>Recycled/Reused</v>
      </c>
      <c r="D46" s="40">
        <f t="shared" si="4"/>
        <v>0</v>
      </c>
      <c r="E46" s="49" t="s">
        <v>92</v>
      </c>
    </row>
    <row r="47" spans="2:15" x14ac:dyDescent="0.4">
      <c r="B47" s="48" t="s">
        <v>77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78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79</v>
      </c>
      <c r="C49" s="39" t="str">
        <f t="shared" si="3"/>
        <v>Recycled/Reused</v>
      </c>
      <c r="D49" s="40">
        <f t="shared" si="4"/>
        <v>0</v>
      </c>
      <c r="E49" s="49" t="s">
        <v>92</v>
      </c>
    </row>
    <row r="50" spans="2:5" x14ac:dyDescent="0.4">
      <c r="B50" s="48" t="s">
        <v>80</v>
      </c>
      <c r="C50" s="39" t="str">
        <f t="shared" si="3"/>
        <v>Landfill</v>
      </c>
      <c r="D50" s="40">
        <f t="shared" si="4"/>
        <v>3832.875</v>
      </c>
      <c r="E50" s="49" t="s">
        <v>92</v>
      </c>
    </row>
    <row r="51" spans="2:5" x14ac:dyDescent="0.4">
      <c r="B51" s="48" t="s">
        <v>81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82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83</v>
      </c>
      <c r="C53" s="39" t="str">
        <f t="shared" si="3"/>
        <v>Landfill</v>
      </c>
      <c r="D53" s="40">
        <f t="shared" si="4"/>
        <v>0</v>
      </c>
      <c r="E53" s="49" t="s">
        <v>92</v>
      </c>
    </row>
    <row r="54" spans="2:5" x14ac:dyDescent="0.4">
      <c r="B54" s="48" t="s">
        <v>84</v>
      </c>
      <c r="C54" s="39" t="str">
        <f t="shared" si="3"/>
        <v>Recycled/Reused</v>
      </c>
      <c r="D54" s="40">
        <f t="shared" si="4"/>
        <v>0</v>
      </c>
      <c r="E54" s="49" t="s">
        <v>92</v>
      </c>
    </row>
    <row r="55" spans="2:5" x14ac:dyDescent="0.4">
      <c r="B55" s="48" t="s">
        <v>85</v>
      </c>
      <c r="C55" s="39" t="str">
        <f t="shared" si="3"/>
        <v>Recycled/Reused</v>
      </c>
      <c r="D55" s="40">
        <f t="shared" si="4"/>
        <v>0</v>
      </c>
      <c r="E55" s="49" t="s">
        <v>92</v>
      </c>
    </row>
    <row r="56" spans="2:5" ht="18.5" thickBot="1" x14ac:dyDescent="0.45">
      <c r="B56" s="64" t="s">
        <v>87</v>
      </c>
      <c r="C56" s="65" t="str">
        <f t="shared" si="3"/>
        <v>Recycled/Reused</v>
      </c>
      <c r="D56" s="40">
        <f t="shared" si="4"/>
        <v>0</v>
      </c>
      <c r="E56" s="67" t="s">
        <v>92</v>
      </c>
    </row>
    <row r="57" spans="2:5" ht="16.5" thickBot="1" x14ac:dyDescent="0.45">
      <c r="B57" s="192" t="s">
        <v>31</v>
      </c>
      <c r="C57" s="193"/>
      <c r="D57" s="194">
        <f>SUM(D33:D56)</f>
        <v>7665.75</v>
      </c>
      <c r="E57" s="195"/>
    </row>
  </sheetData>
  <mergeCells count="3">
    <mergeCell ref="C1:C2"/>
    <mergeCell ref="B57:C57"/>
    <mergeCell ref="D57:E57"/>
  </mergeCells>
  <dataValidations count="1">
    <dataValidation type="list" allowBlank="1" showInputMessage="1" showErrorMessage="1" sqref="B2" xr:uid="{008DFFD7-2588-45CC-8385-C646B95F6A0F}">
      <formula1>$L$2:$L$10</formula1>
    </dataValidation>
  </dataValidation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DA552-A653-432F-B939-B6CE28A507DC}">
  <sheetPr>
    <tabColor rgb="FF92D050"/>
  </sheetPr>
  <dimension ref="B1:O56"/>
  <sheetViews>
    <sheetView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12" ht="20.25" customHeight="1" thickBot="1" x14ac:dyDescent="0.45">
      <c r="B1" s="7" t="s">
        <v>37</v>
      </c>
      <c r="C1" s="187" t="s">
        <v>38</v>
      </c>
      <c r="D1" s="8" t="s">
        <v>39</v>
      </c>
      <c r="E1" s="69"/>
    </row>
    <row r="2" spans="2:12" ht="29.5" thickBot="1" x14ac:dyDescent="0.45">
      <c r="B2" s="9" t="s">
        <v>14</v>
      </c>
      <c r="C2" s="188"/>
      <c r="D2" s="77" t="s">
        <v>107</v>
      </c>
      <c r="E2" s="11" t="s">
        <v>40</v>
      </c>
      <c r="L2" s="6" t="s">
        <v>15</v>
      </c>
    </row>
    <row r="3" spans="2:12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L3" s="6" t="s">
        <v>16</v>
      </c>
    </row>
    <row r="4" spans="2:12" ht="16.5" thickBot="1" x14ac:dyDescent="0.45">
      <c r="B4" s="15" t="s">
        <v>45</v>
      </c>
      <c r="C4" s="16" t="s">
        <v>65</v>
      </c>
      <c r="D4" s="71">
        <v>0</v>
      </c>
      <c r="E4" s="18">
        <f t="shared" si="0"/>
        <v>0</v>
      </c>
      <c r="L4" s="6" t="s">
        <v>17</v>
      </c>
    </row>
    <row r="5" spans="2:12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L5" s="6" t="s">
        <v>14</v>
      </c>
    </row>
    <row r="6" spans="2:12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L6" s="6" t="s">
        <v>18</v>
      </c>
    </row>
    <row r="7" spans="2:12" ht="16.5" thickBot="1" x14ac:dyDescent="0.45">
      <c r="B7" s="12" t="s">
        <v>54</v>
      </c>
      <c r="C7" s="23"/>
      <c r="D7" s="38">
        <v>535</v>
      </c>
      <c r="E7" s="24">
        <f t="shared" si="0"/>
        <v>535</v>
      </c>
      <c r="L7" s="6" t="s">
        <v>19</v>
      </c>
    </row>
    <row r="8" spans="2:12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L8" s="6" t="s">
        <v>20</v>
      </c>
    </row>
    <row r="9" spans="2:12" ht="16.5" thickBot="1" x14ac:dyDescent="0.45">
      <c r="B9" s="32" t="s">
        <v>58</v>
      </c>
      <c r="C9" s="28" t="s">
        <v>46</v>
      </c>
      <c r="D9" s="73">
        <v>535</v>
      </c>
      <c r="E9" s="34">
        <f t="shared" si="0"/>
        <v>535</v>
      </c>
      <c r="L9" s="6" t="s">
        <v>21</v>
      </c>
    </row>
    <row r="10" spans="2:12" ht="16.5" thickBot="1" x14ac:dyDescent="0.45">
      <c r="B10" s="12" t="s">
        <v>60</v>
      </c>
      <c r="C10" s="23"/>
      <c r="D10" s="38">
        <v>121558</v>
      </c>
      <c r="E10" s="24">
        <f t="shared" si="0"/>
        <v>121558</v>
      </c>
      <c r="L10" s="6" t="s">
        <v>22</v>
      </c>
    </row>
    <row r="11" spans="2:12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</row>
    <row r="12" spans="2:12" x14ac:dyDescent="0.4">
      <c r="B12" s="39" t="s">
        <v>64</v>
      </c>
      <c r="C12" s="40" t="s">
        <v>46</v>
      </c>
      <c r="D12" s="41">
        <v>5462</v>
      </c>
      <c r="E12" s="41">
        <f t="shared" si="0"/>
        <v>5462</v>
      </c>
    </row>
    <row r="13" spans="2:12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</row>
    <row r="14" spans="2:12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</row>
    <row r="15" spans="2:12" x14ac:dyDescent="0.4">
      <c r="B15" s="39" t="s">
        <v>71</v>
      </c>
      <c r="C15" s="28" t="s">
        <v>46</v>
      </c>
      <c r="D15" s="74">
        <v>201</v>
      </c>
      <c r="E15" s="41">
        <f t="shared" si="0"/>
        <v>201</v>
      </c>
    </row>
    <row r="16" spans="2:12" x14ac:dyDescent="0.4">
      <c r="B16" s="39" t="s">
        <v>73</v>
      </c>
      <c r="C16" s="28" t="s">
        <v>46</v>
      </c>
      <c r="D16" s="74">
        <v>115802</v>
      </c>
      <c r="E16" s="41">
        <f t="shared" si="0"/>
        <v>115802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v>59</v>
      </c>
      <c r="E23" s="41">
        <f t="shared" si="0"/>
        <v>59</v>
      </c>
    </row>
    <row r="24" spans="2:15" x14ac:dyDescent="0.4">
      <c r="B24" s="39" t="s">
        <v>81</v>
      </c>
      <c r="C24" s="28" t="s">
        <v>46</v>
      </c>
      <c r="D24" s="74">
        <v>34</v>
      </c>
      <c r="E24" s="41">
        <f t="shared" si="0"/>
        <v>34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Landfill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5" si="1">VLOOKUP($B34,$B$4:$C$30,2,0)</f>
        <v>Recycled/Reused</v>
      </c>
      <c r="D34" s="40">
        <f t="shared" ref="D34:D54" si="2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 t="str">
        <f t="shared" si="1"/>
        <v>Recycled/Reused</v>
      </c>
      <c r="D35" s="40">
        <f t="shared" si="2"/>
        <v>0</v>
      </c>
      <c r="E35" s="49" t="s">
        <v>93</v>
      </c>
      <c r="G35" s="50" t="s">
        <v>46</v>
      </c>
      <c r="H35" s="51">
        <f>SUMIFS($D$33:$D$55,$C$33:$C$55,$G35)</f>
        <v>122034</v>
      </c>
    </row>
    <row r="36" spans="2:15" ht="16.5" thickBot="1" x14ac:dyDescent="0.45">
      <c r="B36" s="48" t="s">
        <v>58</v>
      </c>
      <c r="C36" s="39" t="str">
        <f t="shared" si="1"/>
        <v>Recycled/Reused</v>
      </c>
      <c r="D36" s="40">
        <f t="shared" si="2"/>
        <v>535</v>
      </c>
      <c r="E36" s="49" t="s">
        <v>93</v>
      </c>
      <c r="G36" s="52" t="s">
        <v>65</v>
      </c>
      <c r="H36" s="53">
        <f>SUMIFS($D$33:$D$55,$C$33:$C$55,$G36)</f>
        <v>59</v>
      </c>
    </row>
    <row r="37" spans="2:15" ht="16.5" thickBot="1" x14ac:dyDescent="0.45">
      <c r="B37" s="48" t="s">
        <v>62</v>
      </c>
      <c r="C37" s="39" t="str">
        <f t="shared" si="1"/>
        <v>Recycled/Reused</v>
      </c>
      <c r="D37" s="40">
        <f t="shared" si="2"/>
        <v>0</v>
      </c>
      <c r="E37" s="49" t="s">
        <v>92</v>
      </c>
      <c r="G37" s="54" t="s">
        <v>31</v>
      </c>
      <c r="H37" s="55">
        <f>D56-SUM(D35:D36)</f>
        <v>121558</v>
      </c>
    </row>
    <row r="38" spans="2:15" ht="32.5" thickBot="1" x14ac:dyDescent="0.45">
      <c r="B38" s="48" t="s">
        <v>64</v>
      </c>
      <c r="C38" s="39" t="str">
        <f t="shared" si="1"/>
        <v>Recycled/Reused</v>
      </c>
      <c r="D38" s="40">
        <f t="shared" si="2"/>
        <v>5462</v>
      </c>
      <c r="E38" s="49" t="s">
        <v>92</v>
      </c>
      <c r="G38" s="56" t="s">
        <v>94</v>
      </c>
      <c r="H38" s="75">
        <f>IF(ISERROR(H35/H37), "ZERO Waste Generated", (H35/H37))</f>
        <v>1.003915826189967</v>
      </c>
    </row>
    <row r="39" spans="2:15" x14ac:dyDescent="0.4">
      <c r="B39" s="48" t="s">
        <v>67</v>
      </c>
      <c r="C39" s="39" t="str">
        <f t="shared" si="1"/>
        <v>Landfill</v>
      </c>
      <c r="D39" s="40">
        <f t="shared" si="2"/>
        <v>0</v>
      </c>
      <c r="E39" s="49" t="s">
        <v>92</v>
      </c>
    </row>
    <row r="40" spans="2:15" x14ac:dyDescent="0.4">
      <c r="B40" s="48" t="s">
        <v>69</v>
      </c>
      <c r="C40" s="39" t="str">
        <f t="shared" si="1"/>
        <v>Recycled/Reused</v>
      </c>
      <c r="D40" s="40">
        <f t="shared" si="2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1"/>
        <v>Recycled/Reused</v>
      </c>
      <c r="D41" s="40">
        <f t="shared" si="2"/>
        <v>201</v>
      </c>
      <c r="E41" s="49" t="s">
        <v>92</v>
      </c>
    </row>
    <row r="42" spans="2:15" x14ac:dyDescent="0.4">
      <c r="B42" s="48" t="s">
        <v>73</v>
      </c>
      <c r="C42" s="39" t="str">
        <f t="shared" si="1"/>
        <v>Recycled/Reused</v>
      </c>
      <c r="D42" s="40">
        <f t="shared" si="2"/>
        <v>115802</v>
      </c>
      <c r="E42" s="49" t="s">
        <v>92</v>
      </c>
      <c r="G42" s="58" t="s">
        <v>95</v>
      </c>
      <c r="H42" s="51">
        <f>D38*0.3</f>
        <v>1638.6</v>
      </c>
    </row>
    <row r="43" spans="2:15" x14ac:dyDescent="0.4">
      <c r="B43" s="48" t="s">
        <v>74</v>
      </c>
      <c r="C43" s="39" t="str">
        <f t="shared" si="1"/>
        <v>Landfill</v>
      </c>
      <c r="D43" s="40">
        <f t="shared" si="2"/>
        <v>0</v>
      </c>
      <c r="E43" s="49" t="s">
        <v>92</v>
      </c>
      <c r="G43" s="59" t="s">
        <v>96</v>
      </c>
      <c r="H43" s="60">
        <f>SUM(D41,D47,D53)</f>
        <v>201</v>
      </c>
    </row>
    <row r="44" spans="2:15" ht="16.5" thickBot="1" x14ac:dyDescent="0.45">
      <c r="B44" s="48" t="s">
        <v>75</v>
      </c>
      <c r="C44" s="39" t="str">
        <f t="shared" si="1"/>
        <v>Landfill</v>
      </c>
      <c r="D44" s="40">
        <f t="shared" si="2"/>
        <v>0</v>
      </c>
      <c r="E44" s="49" t="s">
        <v>92</v>
      </c>
      <c r="G44" s="61" t="s">
        <v>97</v>
      </c>
      <c r="H44" s="62">
        <f>D54</f>
        <v>0</v>
      </c>
    </row>
    <row r="45" spans="2:15" x14ac:dyDescent="0.4">
      <c r="B45" s="48" t="s">
        <v>76</v>
      </c>
      <c r="C45" s="39" t="str">
        <f t="shared" si="1"/>
        <v>Recycled/Reused</v>
      </c>
      <c r="D45" s="40">
        <f t="shared" si="2"/>
        <v>0</v>
      </c>
      <c r="E45" s="49" t="s">
        <v>92</v>
      </c>
    </row>
    <row r="46" spans="2:15" x14ac:dyDescent="0.4">
      <c r="B46" s="48" t="s">
        <v>77</v>
      </c>
      <c r="C46" s="39" t="str">
        <f t="shared" si="1"/>
        <v>Landfill</v>
      </c>
      <c r="D46" s="40">
        <f t="shared" si="2"/>
        <v>0</v>
      </c>
      <c r="E46" s="49" t="s">
        <v>92</v>
      </c>
    </row>
    <row r="47" spans="2:15" x14ac:dyDescent="0.4">
      <c r="B47" s="48" t="s">
        <v>78</v>
      </c>
      <c r="C47" s="39" t="str">
        <f t="shared" si="1"/>
        <v>Recycled/Reused</v>
      </c>
      <c r="D47" s="40">
        <f t="shared" si="2"/>
        <v>0</v>
      </c>
      <c r="E47" s="49" t="s">
        <v>92</v>
      </c>
    </row>
    <row r="48" spans="2:15" x14ac:dyDescent="0.4">
      <c r="B48" s="48" t="s">
        <v>79</v>
      </c>
      <c r="C48" s="39" t="str">
        <f t="shared" si="1"/>
        <v>Recycled/Reused</v>
      </c>
      <c r="D48" s="40">
        <f t="shared" si="2"/>
        <v>0</v>
      </c>
      <c r="E48" s="49" t="s">
        <v>92</v>
      </c>
    </row>
    <row r="49" spans="2:5" x14ac:dyDescent="0.4">
      <c r="B49" s="48" t="s">
        <v>80</v>
      </c>
      <c r="C49" s="39" t="str">
        <f t="shared" si="1"/>
        <v>Landfill</v>
      </c>
      <c r="D49" s="40">
        <f t="shared" si="2"/>
        <v>59</v>
      </c>
      <c r="E49" s="49" t="s">
        <v>92</v>
      </c>
    </row>
    <row r="50" spans="2:5" x14ac:dyDescent="0.4">
      <c r="B50" s="48" t="s">
        <v>81</v>
      </c>
      <c r="C50" s="39" t="str">
        <f t="shared" si="1"/>
        <v>Recycled/Reused</v>
      </c>
      <c r="D50" s="40">
        <f t="shared" si="2"/>
        <v>34</v>
      </c>
      <c r="E50" s="49" t="s">
        <v>92</v>
      </c>
    </row>
    <row r="51" spans="2:5" x14ac:dyDescent="0.4">
      <c r="B51" s="48" t="s">
        <v>82</v>
      </c>
      <c r="C51" s="39" t="str">
        <f t="shared" si="1"/>
        <v>Recycled/Reused</v>
      </c>
      <c r="D51" s="40">
        <f t="shared" si="2"/>
        <v>0</v>
      </c>
      <c r="E51" s="49" t="s">
        <v>92</v>
      </c>
    </row>
    <row r="52" spans="2:5" x14ac:dyDescent="0.4">
      <c r="B52" s="48" t="s">
        <v>83</v>
      </c>
      <c r="C52" s="39" t="str">
        <f t="shared" si="1"/>
        <v>Recycled/Reused</v>
      </c>
      <c r="D52" s="40">
        <f t="shared" si="2"/>
        <v>0</v>
      </c>
      <c r="E52" s="49" t="s">
        <v>92</v>
      </c>
    </row>
    <row r="53" spans="2:5" x14ac:dyDescent="0.4">
      <c r="B53" s="48" t="s">
        <v>84</v>
      </c>
      <c r="C53" s="39" t="str">
        <f t="shared" si="1"/>
        <v>Recycled/Reused</v>
      </c>
      <c r="D53" s="40">
        <f t="shared" si="2"/>
        <v>0</v>
      </c>
      <c r="E53" s="49" t="s">
        <v>92</v>
      </c>
    </row>
    <row r="54" spans="2:5" x14ac:dyDescent="0.4">
      <c r="B54" s="48" t="s">
        <v>85</v>
      </c>
      <c r="C54" s="39" t="str">
        <f t="shared" si="1"/>
        <v>Recycled/Reused</v>
      </c>
      <c r="D54" s="40">
        <f t="shared" si="2"/>
        <v>0</v>
      </c>
      <c r="E54" s="49" t="s">
        <v>92</v>
      </c>
    </row>
    <row r="55" spans="2:5" ht="18.5" thickBot="1" x14ac:dyDescent="0.45">
      <c r="B55" s="64" t="s">
        <v>87</v>
      </c>
      <c r="C55" s="65" t="str">
        <f t="shared" si="1"/>
        <v>Recycled/Reused</v>
      </c>
      <c r="D55" s="66">
        <f>SUMIF($B$3:$B$30,$B55,$E$3:$E$30)*1620</f>
        <v>0</v>
      </c>
      <c r="E55" s="67" t="s">
        <v>92</v>
      </c>
    </row>
    <row r="56" spans="2:5" ht="16.5" thickBot="1" x14ac:dyDescent="0.45">
      <c r="B56" s="192" t="s">
        <v>31</v>
      </c>
      <c r="C56" s="193"/>
      <c r="D56" s="194">
        <f>SUM(D33:D55)</f>
        <v>122093</v>
      </c>
      <c r="E56" s="195"/>
    </row>
  </sheetData>
  <mergeCells count="3">
    <mergeCell ref="C1:C2"/>
    <mergeCell ref="B56:C56"/>
    <mergeCell ref="D56:E56"/>
  </mergeCells>
  <dataValidations count="1">
    <dataValidation type="list" allowBlank="1" showInputMessage="1" showErrorMessage="1" sqref="B2" xr:uid="{4171FF07-21A7-41B1-AD73-853C8405F57D}">
      <formula1>$L$2:$L$10</formula1>
    </dataValidation>
  </dataValidation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4EC6-A9A8-44D7-B9E5-77B1DBCB3171}">
  <sheetPr>
    <tabColor rgb="FF92D050"/>
  </sheetPr>
  <dimension ref="B1:O63"/>
  <sheetViews>
    <sheetView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12" ht="20.25" customHeight="1" thickBot="1" x14ac:dyDescent="0.45">
      <c r="B1" s="7" t="s">
        <v>37</v>
      </c>
      <c r="C1" s="187" t="s">
        <v>38</v>
      </c>
      <c r="D1" s="76" t="s">
        <v>39</v>
      </c>
      <c r="E1" s="69"/>
    </row>
    <row r="2" spans="2:12" ht="29.5" thickBot="1" x14ac:dyDescent="0.45">
      <c r="B2" s="9" t="s">
        <v>14</v>
      </c>
      <c r="C2" s="188"/>
      <c r="D2" s="70" t="s">
        <v>9</v>
      </c>
      <c r="E2" s="11" t="s">
        <v>40</v>
      </c>
      <c r="L2" s="6" t="s">
        <v>15</v>
      </c>
    </row>
    <row r="3" spans="2:12" ht="16.5" thickBot="1" x14ac:dyDescent="0.45">
      <c r="B3" s="12" t="s">
        <v>41</v>
      </c>
      <c r="C3" s="13"/>
      <c r="D3" s="38">
        <v>0</v>
      </c>
      <c r="E3" s="14">
        <f t="shared" ref="E3:E31" si="0">SUM(D3:D3)</f>
        <v>0</v>
      </c>
      <c r="I3" s="1" t="s">
        <v>42</v>
      </c>
      <c r="J3" s="1" t="s">
        <v>43</v>
      </c>
      <c r="L3" s="6" t="s">
        <v>16</v>
      </c>
    </row>
    <row r="4" spans="2:12" ht="16.5" thickBot="1" x14ac:dyDescent="0.45">
      <c r="B4" s="15" t="s">
        <v>45</v>
      </c>
      <c r="C4" s="16" t="s">
        <v>65</v>
      </c>
      <c r="D4" s="71">
        <v>0</v>
      </c>
      <c r="E4" s="18">
        <f t="shared" si="0"/>
        <v>0</v>
      </c>
      <c r="F4" s="1">
        <v>30</v>
      </c>
      <c r="G4" s="1" t="s">
        <v>47</v>
      </c>
      <c r="H4" s="1">
        <v>40</v>
      </c>
      <c r="I4" s="1">
        <f>0.45*H4*F4/2</f>
        <v>270</v>
      </c>
      <c r="J4" s="1">
        <f>0.55*H4*F4/2</f>
        <v>330</v>
      </c>
      <c r="L4" s="6" t="s">
        <v>17</v>
      </c>
    </row>
    <row r="5" spans="2:12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31</v>
      </c>
      <c r="G5" s="1" t="s">
        <v>13</v>
      </c>
      <c r="H5" s="1">
        <v>40</v>
      </c>
      <c r="I5" s="1">
        <f t="shared" ref="I5:I15" si="1">0.45*H5*F5/2</f>
        <v>279</v>
      </c>
      <c r="J5" s="1">
        <f t="shared" ref="J5:J15" si="2">0.55*H5*F5/2</f>
        <v>341</v>
      </c>
      <c r="L5" s="6" t="s">
        <v>14</v>
      </c>
    </row>
    <row r="6" spans="2:12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30</v>
      </c>
      <c r="G6" s="1" t="s">
        <v>53</v>
      </c>
      <c r="H6" s="1">
        <v>40</v>
      </c>
      <c r="I6" s="1">
        <f t="shared" si="1"/>
        <v>270</v>
      </c>
      <c r="J6" s="1">
        <f t="shared" si="2"/>
        <v>330</v>
      </c>
      <c r="L6" s="6" t="s">
        <v>18</v>
      </c>
    </row>
    <row r="7" spans="2:12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31</v>
      </c>
      <c r="G7" s="1" t="s">
        <v>55</v>
      </c>
      <c r="H7" s="1">
        <v>40</v>
      </c>
      <c r="I7" s="1">
        <f t="shared" si="1"/>
        <v>279</v>
      </c>
      <c r="J7" s="1">
        <f t="shared" si="2"/>
        <v>341</v>
      </c>
      <c r="L7" s="6" t="s">
        <v>19</v>
      </c>
    </row>
    <row r="8" spans="2:12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57</v>
      </c>
      <c r="H8" s="1">
        <v>40</v>
      </c>
      <c r="I8" s="1">
        <f t="shared" si="1"/>
        <v>279</v>
      </c>
      <c r="J8" s="1">
        <f t="shared" si="2"/>
        <v>341</v>
      </c>
      <c r="L8" s="6" t="s">
        <v>20</v>
      </c>
    </row>
    <row r="9" spans="2:12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30</v>
      </c>
      <c r="G9" s="1" t="s">
        <v>59</v>
      </c>
      <c r="H9" s="1">
        <v>40</v>
      </c>
      <c r="I9" s="1">
        <f t="shared" si="1"/>
        <v>270</v>
      </c>
      <c r="J9" s="1">
        <f t="shared" si="2"/>
        <v>330</v>
      </c>
      <c r="L9" s="6" t="s">
        <v>21</v>
      </c>
    </row>
    <row r="10" spans="2:12" ht="16.5" thickBot="1" x14ac:dyDescent="0.45">
      <c r="B10" s="12" t="s">
        <v>60</v>
      </c>
      <c r="C10" s="23"/>
      <c r="D10" s="38">
        <v>1322734.3799999999</v>
      </c>
      <c r="E10" s="24">
        <f t="shared" si="0"/>
        <v>1322734.3799999999</v>
      </c>
      <c r="F10" s="1">
        <v>31</v>
      </c>
      <c r="G10" s="1" t="s">
        <v>61</v>
      </c>
      <c r="H10" s="1">
        <v>40</v>
      </c>
      <c r="I10" s="1">
        <f t="shared" si="1"/>
        <v>279</v>
      </c>
      <c r="J10" s="1">
        <f t="shared" si="2"/>
        <v>341</v>
      </c>
      <c r="L10" s="6" t="s">
        <v>22</v>
      </c>
    </row>
    <row r="11" spans="2:12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30</v>
      </c>
      <c r="G11" s="1" t="s">
        <v>63</v>
      </c>
      <c r="H11" s="1">
        <v>40</v>
      </c>
      <c r="I11" s="1">
        <f t="shared" si="1"/>
        <v>270</v>
      </c>
      <c r="J11" s="1">
        <f t="shared" si="2"/>
        <v>330</v>
      </c>
    </row>
    <row r="12" spans="2:12" x14ac:dyDescent="0.4">
      <c r="B12" s="39" t="s">
        <v>64</v>
      </c>
      <c r="C12" s="40" t="s">
        <v>65</v>
      </c>
      <c r="D12" s="41">
        <f>I16</f>
        <v>3285</v>
      </c>
      <c r="E12" s="41">
        <f t="shared" si="0"/>
        <v>3285</v>
      </c>
      <c r="F12" s="1">
        <v>31</v>
      </c>
      <c r="G12" s="1" t="s">
        <v>66</v>
      </c>
      <c r="H12" s="1">
        <v>40</v>
      </c>
      <c r="I12" s="1">
        <f t="shared" si="1"/>
        <v>279</v>
      </c>
      <c r="J12" s="1">
        <f t="shared" si="2"/>
        <v>341</v>
      </c>
    </row>
    <row r="13" spans="2:12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68</v>
      </c>
      <c r="H13" s="1">
        <v>40</v>
      </c>
      <c r="I13" s="1">
        <f t="shared" si="1"/>
        <v>279</v>
      </c>
      <c r="J13" s="1">
        <f t="shared" si="2"/>
        <v>341</v>
      </c>
    </row>
    <row r="14" spans="2:12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28</v>
      </c>
      <c r="G14" s="1" t="s">
        <v>70</v>
      </c>
      <c r="H14" s="1">
        <v>40</v>
      </c>
      <c r="I14" s="1">
        <f t="shared" si="1"/>
        <v>252</v>
      </c>
      <c r="J14" s="1">
        <f t="shared" si="2"/>
        <v>308</v>
      </c>
    </row>
    <row r="15" spans="2:12" x14ac:dyDescent="0.4">
      <c r="B15" s="39" t="s">
        <v>71</v>
      </c>
      <c r="C15" s="28" t="s">
        <v>46</v>
      </c>
      <c r="D15" s="79">
        <v>0</v>
      </c>
      <c r="E15" s="41">
        <f t="shared" si="0"/>
        <v>0</v>
      </c>
      <c r="F15" s="1">
        <v>31</v>
      </c>
      <c r="G15" s="1" t="s">
        <v>72</v>
      </c>
      <c r="H15" s="1">
        <v>40</v>
      </c>
      <c r="I15" s="1">
        <f t="shared" si="1"/>
        <v>279</v>
      </c>
      <c r="J15" s="1">
        <f t="shared" si="2"/>
        <v>341</v>
      </c>
    </row>
    <row r="16" spans="2:12" x14ac:dyDescent="0.4">
      <c r="B16" s="39" t="s">
        <v>73</v>
      </c>
      <c r="C16" s="28" t="s">
        <v>46</v>
      </c>
      <c r="D16" s="74">
        <v>0</v>
      </c>
      <c r="E16" s="41">
        <f t="shared" si="0"/>
        <v>0</v>
      </c>
      <c r="I16" s="1">
        <f>SUM(I4:I15)</f>
        <v>3285</v>
      </c>
      <c r="J16" s="1">
        <f>SUM(J4:J15)</f>
        <v>4015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65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J16</f>
        <v>4015</v>
      </c>
      <c r="E23" s="41">
        <f t="shared" si="0"/>
        <v>4015</v>
      </c>
    </row>
    <row r="24" spans="2:15" x14ac:dyDescent="0.4">
      <c r="B24" s="39" t="s">
        <v>80</v>
      </c>
      <c r="C24" s="28" t="s">
        <v>65</v>
      </c>
      <c r="D24" s="74">
        <v>0</v>
      </c>
      <c r="E24" s="41">
        <f t="shared" si="0"/>
        <v>0</v>
      </c>
    </row>
    <row r="25" spans="2:15" x14ac:dyDescent="0.4">
      <c r="B25" s="39" t="s">
        <v>81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82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83</v>
      </c>
      <c r="C27" s="28" t="s">
        <v>46</v>
      </c>
      <c r="D27" s="74">
        <v>0</v>
      </c>
      <c r="E27" s="41">
        <f t="shared" si="0"/>
        <v>0</v>
      </c>
    </row>
    <row r="28" spans="2:15" x14ac:dyDescent="0.4">
      <c r="B28" s="39" t="s">
        <v>84</v>
      </c>
      <c r="C28" s="28" t="s">
        <v>46</v>
      </c>
      <c r="D28" s="74">
        <v>0</v>
      </c>
      <c r="E28" s="41">
        <f t="shared" si="0"/>
        <v>0</v>
      </c>
    </row>
    <row r="29" spans="2:15" ht="16.5" thickBot="1" x14ac:dyDescent="0.45">
      <c r="B29" s="32" t="s">
        <v>85</v>
      </c>
      <c r="C29" s="28" t="s">
        <v>46</v>
      </c>
      <c r="D29" s="73">
        <v>0</v>
      </c>
      <c r="E29" s="34">
        <f t="shared" si="0"/>
        <v>0</v>
      </c>
    </row>
    <row r="30" spans="2:15" ht="18.5" thickBot="1" x14ac:dyDescent="0.45">
      <c r="B30" s="12" t="s">
        <v>86</v>
      </c>
      <c r="C30" s="23"/>
      <c r="D30" s="38">
        <v>0</v>
      </c>
      <c r="E30" s="24">
        <f t="shared" si="0"/>
        <v>0</v>
      </c>
    </row>
    <row r="31" spans="2:15" ht="18" x14ac:dyDescent="0.4">
      <c r="B31" s="29" t="s">
        <v>87</v>
      </c>
      <c r="C31" s="43" t="s">
        <v>46</v>
      </c>
      <c r="D31" s="72">
        <v>0</v>
      </c>
      <c r="E31" s="31">
        <f t="shared" si="0"/>
        <v>0</v>
      </c>
    </row>
    <row r="32" spans="2:15" ht="16.5" thickBot="1" x14ac:dyDescent="0.45">
      <c r="O32" s="44"/>
    </row>
    <row r="33" spans="2:15" ht="32" x14ac:dyDescent="0.4">
      <c r="B33" s="45" t="s">
        <v>88</v>
      </c>
      <c r="C33" s="46" t="s">
        <v>89</v>
      </c>
      <c r="D33" s="46" t="s">
        <v>90</v>
      </c>
      <c r="E33" s="47" t="s">
        <v>91</v>
      </c>
      <c r="O33" s="44"/>
    </row>
    <row r="34" spans="2:15" x14ac:dyDescent="0.4">
      <c r="B34" s="48" t="s">
        <v>45</v>
      </c>
      <c r="C34" s="39" t="str">
        <f>VLOOKUP($B34,$B$4:$C$31,2,0)</f>
        <v>Landfill</v>
      </c>
      <c r="D34" s="40">
        <f>(SUMIF($B$3:$B$31,$B34,$E$3:$E$31)*1000)/1.1</f>
        <v>0</v>
      </c>
      <c r="E34" s="49" t="s">
        <v>92</v>
      </c>
      <c r="O34" s="44"/>
    </row>
    <row r="35" spans="2:15" ht="16.5" thickBot="1" x14ac:dyDescent="0.45">
      <c r="B35" s="48" t="s">
        <v>52</v>
      </c>
      <c r="C35" s="39" t="str">
        <f t="shared" ref="C35:C61" si="3">VLOOKUP($B35,$B$4:$C$31,2,0)</f>
        <v>Recycled/Reused</v>
      </c>
      <c r="D35" s="40">
        <f t="shared" ref="D35:D60" si="4">SUMIF($B$3:$B$31,$B35,$E$3:$E$31)</f>
        <v>0</v>
      </c>
      <c r="E35" s="49" t="s">
        <v>92</v>
      </c>
    </row>
    <row r="36" spans="2:15" ht="16.5" thickBot="1" x14ac:dyDescent="0.45">
      <c r="B36" s="48" t="s">
        <v>56</v>
      </c>
      <c r="C36" s="39" t="str">
        <f t="shared" si="3"/>
        <v>Recycled/Reused</v>
      </c>
      <c r="D36" s="40">
        <f t="shared" si="4"/>
        <v>0</v>
      </c>
      <c r="E36" s="49" t="s">
        <v>93</v>
      </c>
      <c r="G36" s="50" t="s">
        <v>46</v>
      </c>
      <c r="H36" s="51">
        <f>SUMIFS($D$34:$D$62,$C$34:$C$62,$G36)</f>
        <v>0</v>
      </c>
    </row>
    <row r="37" spans="2:15" ht="16.5" thickBot="1" x14ac:dyDescent="0.45">
      <c r="B37" s="48" t="s">
        <v>58</v>
      </c>
      <c r="C37" s="39" t="str">
        <f t="shared" si="3"/>
        <v>Recycled/Reused</v>
      </c>
      <c r="D37" s="40">
        <f t="shared" si="4"/>
        <v>0</v>
      </c>
      <c r="E37" s="49" t="s">
        <v>93</v>
      </c>
      <c r="G37" s="52" t="s">
        <v>65</v>
      </c>
      <c r="H37" s="53">
        <f>SUMIFS($D$34:$D$62,$C$34:$C$62,$G37)</f>
        <v>7300</v>
      </c>
    </row>
    <row r="38" spans="2:15" ht="16.5" thickBot="1" x14ac:dyDescent="0.45">
      <c r="B38" s="48" t="s">
        <v>62</v>
      </c>
      <c r="C38" s="39" t="str">
        <f t="shared" si="3"/>
        <v>Recycled/Reused</v>
      </c>
      <c r="D38" s="40">
        <f t="shared" si="4"/>
        <v>0</v>
      </c>
      <c r="E38" s="49" t="s">
        <v>92</v>
      </c>
      <c r="G38" s="54" t="s">
        <v>31</v>
      </c>
      <c r="H38" s="55">
        <f>D63-SUM(D36:D37)</f>
        <v>7300</v>
      </c>
    </row>
    <row r="39" spans="2:15" ht="32.5" thickBot="1" x14ac:dyDescent="0.45">
      <c r="B39" s="48" t="s">
        <v>64</v>
      </c>
      <c r="C39" s="39" t="str">
        <f t="shared" si="3"/>
        <v>Landfill</v>
      </c>
      <c r="D39" s="40">
        <f t="shared" si="4"/>
        <v>3285</v>
      </c>
      <c r="E39" s="49" t="s">
        <v>92</v>
      </c>
      <c r="G39" s="56" t="s">
        <v>94</v>
      </c>
      <c r="H39" s="75">
        <f>IF(ISERROR(H36/H38), "ZERO Waste Generated", (H36/H38))</f>
        <v>0</v>
      </c>
    </row>
    <row r="40" spans="2:15" x14ac:dyDescent="0.4">
      <c r="B40" s="48" t="s">
        <v>67</v>
      </c>
      <c r="C40" s="39" t="str">
        <f t="shared" si="3"/>
        <v>Landfill</v>
      </c>
      <c r="D40" s="40">
        <f t="shared" si="4"/>
        <v>0</v>
      </c>
      <c r="E40" s="49" t="s">
        <v>92</v>
      </c>
    </row>
    <row r="41" spans="2:15" x14ac:dyDescent="0.4">
      <c r="B41" s="48" t="s">
        <v>69</v>
      </c>
      <c r="C41" s="39" t="str">
        <f t="shared" si="3"/>
        <v>Recycled/Reused</v>
      </c>
      <c r="D41" s="40">
        <f>SUMIF($B$3:$B$31,$B41,$E$3:$E$31)*0.7</f>
        <v>0</v>
      </c>
      <c r="E41" s="49" t="s">
        <v>92</v>
      </c>
    </row>
    <row r="42" spans="2:15" ht="16.5" thickBot="1" x14ac:dyDescent="0.45">
      <c r="B42" s="48" t="s">
        <v>69</v>
      </c>
      <c r="C42" s="39" t="s">
        <v>65</v>
      </c>
      <c r="D42" s="40">
        <f>SUMIF($B$3:$B$31,$B42,$E$3:$E$31)*0.3</f>
        <v>0</v>
      </c>
      <c r="E42" s="49" t="s">
        <v>92</v>
      </c>
    </row>
    <row r="43" spans="2:15" x14ac:dyDescent="0.4">
      <c r="B43" s="48" t="s">
        <v>71</v>
      </c>
      <c r="C43" s="39" t="str">
        <f t="shared" si="3"/>
        <v>Recycled/Reused</v>
      </c>
      <c r="D43" s="40">
        <f t="shared" si="4"/>
        <v>0</v>
      </c>
      <c r="E43" s="49" t="s">
        <v>92</v>
      </c>
      <c r="G43" s="58" t="s">
        <v>95</v>
      </c>
      <c r="H43" s="51">
        <f>D39*0.5</f>
        <v>1642.5</v>
      </c>
    </row>
    <row r="44" spans="2:15" x14ac:dyDescent="0.4">
      <c r="B44" s="48" t="s">
        <v>73</v>
      </c>
      <c r="C44" s="39" t="str">
        <f t="shared" si="3"/>
        <v>Recycled/Reused</v>
      </c>
      <c r="D44" s="40">
        <f>SUMIF($B$3:$B$31,$B44,$E$3:$E$31)*0.5</f>
        <v>0</v>
      </c>
      <c r="E44" s="49" t="s">
        <v>92</v>
      </c>
      <c r="G44" s="59" t="s">
        <v>96</v>
      </c>
      <c r="H44" s="60">
        <f>SUM(D43,D51,D59)</f>
        <v>0</v>
      </c>
    </row>
    <row r="45" spans="2:15" ht="16.5" thickBot="1" x14ac:dyDescent="0.45">
      <c r="B45" s="48" t="s">
        <v>73</v>
      </c>
      <c r="C45" s="39" t="s">
        <v>65</v>
      </c>
      <c r="D45" s="40">
        <f>SUMIF($B$3:$B$31,$B45,$E$3:$E$31)*0.5</f>
        <v>0</v>
      </c>
      <c r="E45" s="49" t="s">
        <v>92</v>
      </c>
      <c r="G45" s="61" t="s">
        <v>97</v>
      </c>
      <c r="H45" s="62">
        <f>D60</f>
        <v>0</v>
      </c>
    </row>
    <row r="46" spans="2:15" x14ac:dyDescent="0.4">
      <c r="B46" s="48" t="s">
        <v>74</v>
      </c>
      <c r="C46" s="39" t="str">
        <f t="shared" si="3"/>
        <v>Landfill</v>
      </c>
      <c r="D46" s="40">
        <f t="shared" si="4"/>
        <v>0</v>
      </c>
      <c r="E46" s="49" t="s">
        <v>92</v>
      </c>
    </row>
    <row r="47" spans="2:15" x14ac:dyDescent="0.4">
      <c r="B47" s="48" t="s">
        <v>75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76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77</v>
      </c>
      <c r="C49" s="39" t="str">
        <f t="shared" si="3"/>
        <v>Landfill</v>
      </c>
      <c r="D49" s="40">
        <f>SUMIF($B$3:$B$31,$B49,$E$3:$E$31)*0.5</f>
        <v>0</v>
      </c>
      <c r="E49" s="49" t="s">
        <v>92</v>
      </c>
    </row>
    <row r="50" spans="2:5" x14ac:dyDescent="0.4">
      <c r="B50" s="48" t="s">
        <v>77</v>
      </c>
      <c r="C50" s="39" t="s">
        <v>46</v>
      </c>
      <c r="D50" s="40">
        <f>SUMIF($B$3:$B$31,$B50,$E$3:$E$31)*0.5</f>
        <v>0</v>
      </c>
      <c r="E50" s="49" t="s">
        <v>92</v>
      </c>
    </row>
    <row r="51" spans="2:5" x14ac:dyDescent="0.4">
      <c r="B51" s="48" t="s">
        <v>78</v>
      </c>
      <c r="C51" s="39" t="str">
        <f t="shared" si="3"/>
        <v>Landfill</v>
      </c>
      <c r="D51" s="40">
        <f t="shared" si="4"/>
        <v>0</v>
      </c>
      <c r="E51" s="49" t="s">
        <v>92</v>
      </c>
    </row>
    <row r="52" spans="2:5" x14ac:dyDescent="0.4">
      <c r="B52" s="48" t="s">
        <v>79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80</v>
      </c>
      <c r="C53" s="39" t="str">
        <f t="shared" si="3"/>
        <v>Landfill</v>
      </c>
      <c r="D53" s="40">
        <f>SUMIFS($E$3:$E$31, $B$3:$B$31,$B53, $C$3:$C$31,C53)</f>
        <v>4015</v>
      </c>
      <c r="E53" s="49" t="s">
        <v>92</v>
      </c>
    </row>
    <row r="54" spans="2:5" x14ac:dyDescent="0.4">
      <c r="B54" s="48" t="s">
        <v>80</v>
      </c>
      <c r="C54" s="39" t="s">
        <v>65</v>
      </c>
      <c r="D54" s="40">
        <v>0</v>
      </c>
      <c r="E54" s="49" t="s">
        <v>92</v>
      </c>
    </row>
    <row r="55" spans="2:5" x14ac:dyDescent="0.4">
      <c r="B55" s="48" t="s">
        <v>81</v>
      </c>
      <c r="C55" s="39" t="str">
        <f t="shared" si="3"/>
        <v>Recycled/Reused</v>
      </c>
      <c r="D55" s="40">
        <f t="shared" si="4"/>
        <v>0</v>
      </c>
      <c r="E55" s="49" t="s">
        <v>92</v>
      </c>
    </row>
    <row r="56" spans="2:5" x14ac:dyDescent="0.4">
      <c r="B56" s="48" t="s">
        <v>82</v>
      </c>
      <c r="C56" s="39" t="str">
        <f t="shared" si="3"/>
        <v>Recycled/Reused</v>
      </c>
      <c r="D56" s="40">
        <f>SUMIF($B$3:$B$31,$B56,$E$3:$E$31)</f>
        <v>0</v>
      </c>
      <c r="E56" s="49" t="s">
        <v>92</v>
      </c>
    </row>
    <row r="57" spans="2:5" x14ac:dyDescent="0.4">
      <c r="B57" s="48" t="s">
        <v>83</v>
      </c>
      <c r="C57" s="39" t="str">
        <f t="shared" si="3"/>
        <v>Recycled/Reused</v>
      </c>
      <c r="D57" s="40">
        <f>SUMIF($B$3:$B$31,$B57,$E$3:$E$31)*0.7</f>
        <v>0</v>
      </c>
      <c r="E57" s="49" t="s">
        <v>92</v>
      </c>
    </row>
    <row r="58" spans="2:5" x14ac:dyDescent="0.4">
      <c r="B58" s="48" t="s">
        <v>83</v>
      </c>
      <c r="C58" s="39" t="s">
        <v>65</v>
      </c>
      <c r="D58" s="40">
        <f>SUMIF($B$3:$B$31,$B58,$E$3:$E$31)*0.3</f>
        <v>0</v>
      </c>
      <c r="E58" s="49" t="s">
        <v>92</v>
      </c>
    </row>
    <row r="59" spans="2:5" x14ac:dyDescent="0.4">
      <c r="B59" s="48" t="s">
        <v>84</v>
      </c>
      <c r="C59" s="39" t="str">
        <f t="shared" si="3"/>
        <v>Recycled/Reused</v>
      </c>
      <c r="D59" s="40">
        <f t="shared" si="4"/>
        <v>0</v>
      </c>
      <c r="E59" s="49" t="s">
        <v>92</v>
      </c>
    </row>
    <row r="60" spans="2:5" x14ac:dyDescent="0.4">
      <c r="B60" s="48" t="s">
        <v>85</v>
      </c>
      <c r="C60" s="39" t="str">
        <f t="shared" si="3"/>
        <v>Recycled/Reused</v>
      </c>
      <c r="D60" s="40">
        <f t="shared" si="4"/>
        <v>0</v>
      </c>
      <c r="E60" s="49" t="s">
        <v>92</v>
      </c>
    </row>
    <row r="61" spans="2:5" ht="18.5" thickBot="1" x14ac:dyDescent="0.45">
      <c r="B61" s="64" t="s">
        <v>87</v>
      </c>
      <c r="C61" s="65" t="str">
        <f t="shared" si="3"/>
        <v>Recycled/Reused</v>
      </c>
      <c r="D61" s="66">
        <f>SUMIF($B$3:$B$31,$B61,$E$3:$E$31)*1620*0.5</f>
        <v>0</v>
      </c>
      <c r="E61" s="67" t="s">
        <v>92</v>
      </c>
    </row>
    <row r="62" spans="2:5" ht="18.5" thickBot="1" x14ac:dyDescent="0.45">
      <c r="B62" s="64" t="s">
        <v>87</v>
      </c>
      <c r="C62" s="65" t="s">
        <v>65</v>
      </c>
      <c r="D62" s="66">
        <f>SUMIF($B$3:$B$31,$B62,$E$3:$E$31)*1620*0.5</f>
        <v>0</v>
      </c>
      <c r="E62" s="67" t="s">
        <v>92</v>
      </c>
    </row>
    <row r="63" spans="2:5" ht="16.5" thickBot="1" x14ac:dyDescent="0.45">
      <c r="B63" s="192" t="s">
        <v>31</v>
      </c>
      <c r="C63" s="193"/>
      <c r="D63" s="194">
        <f>SUM(D34:D62)</f>
        <v>7300</v>
      </c>
      <c r="E63" s="195"/>
    </row>
  </sheetData>
  <mergeCells count="3">
    <mergeCell ref="C1:C2"/>
    <mergeCell ref="B63:C63"/>
    <mergeCell ref="D63:E63"/>
  </mergeCells>
  <dataValidations count="1">
    <dataValidation type="list" allowBlank="1" showInputMessage="1" showErrorMessage="1" sqref="B2" xr:uid="{D492003A-0624-4983-B94D-D66067542EF1}">
      <formula1>$L$2:$L$10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9756-F7D2-4D64-8CBA-2E594F497366}">
  <sheetPr>
    <tabColor rgb="FF92D050"/>
  </sheetPr>
  <dimension ref="B1:T59"/>
  <sheetViews>
    <sheetView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11.1796875" style="1" bestFit="1" customWidth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20" ht="20.25" customHeight="1" thickBot="1" x14ac:dyDescent="0.45">
      <c r="B1" s="7" t="s">
        <v>37</v>
      </c>
      <c r="C1" s="187" t="s">
        <v>38</v>
      </c>
      <c r="D1" s="76" t="s">
        <v>39</v>
      </c>
      <c r="E1" s="69"/>
    </row>
    <row r="2" spans="2:20" ht="16.5" thickBot="1" x14ac:dyDescent="0.45">
      <c r="B2" s="9" t="s">
        <v>14</v>
      </c>
      <c r="C2" s="188"/>
      <c r="D2" s="10" t="s">
        <v>11</v>
      </c>
      <c r="E2" s="11" t="s">
        <v>40</v>
      </c>
      <c r="K2" s="6" t="s">
        <v>16</v>
      </c>
      <c r="L2" s="6" t="s">
        <v>15</v>
      </c>
      <c r="N2" s="189" t="s">
        <v>44</v>
      </c>
      <c r="O2" s="190"/>
      <c r="P2" s="190"/>
      <c r="Q2" s="190"/>
      <c r="R2" s="190"/>
      <c r="S2" s="190"/>
      <c r="T2" s="191"/>
    </row>
    <row r="3" spans="2:20" ht="16.5" thickBot="1" x14ac:dyDescent="0.45">
      <c r="B3" s="12" t="s">
        <v>41</v>
      </c>
      <c r="C3" s="13"/>
      <c r="D3" s="38">
        <v>0</v>
      </c>
      <c r="E3" s="14">
        <f t="shared" ref="E3:E31" si="0">SUM(D3:D3)</f>
        <v>0</v>
      </c>
      <c r="I3" s="1" t="s">
        <v>42</v>
      </c>
      <c r="J3" s="1" t="s">
        <v>43</v>
      </c>
      <c r="K3" s="6" t="s">
        <v>17</v>
      </c>
      <c r="L3" s="6" t="s">
        <v>16</v>
      </c>
      <c r="N3" s="19" t="s">
        <v>48</v>
      </c>
      <c r="O3" s="20"/>
      <c r="P3" s="21" t="s">
        <v>49</v>
      </c>
      <c r="Q3" s="20"/>
      <c r="R3" s="20"/>
      <c r="S3" s="20"/>
      <c r="T3" s="22"/>
    </row>
    <row r="4" spans="2:20" ht="16.5" thickBot="1" x14ac:dyDescent="0.45">
      <c r="B4" s="15" t="s">
        <v>45</v>
      </c>
      <c r="C4" s="16" t="s">
        <v>65</v>
      </c>
      <c r="D4" s="71">
        <v>0</v>
      </c>
      <c r="E4" s="18">
        <f t="shared" si="0"/>
        <v>0</v>
      </c>
      <c r="F4" s="1">
        <v>30</v>
      </c>
      <c r="G4" s="1" t="s">
        <v>47</v>
      </c>
      <c r="H4" s="1">
        <v>50</v>
      </c>
      <c r="I4" s="1">
        <f>0.45*H4*F4/2</f>
        <v>337.5</v>
      </c>
      <c r="J4" s="1">
        <f>0.55*H4*F4/2</f>
        <v>412.50000000000006</v>
      </c>
      <c r="K4" s="6" t="s">
        <v>14</v>
      </c>
      <c r="L4" s="6" t="s">
        <v>17</v>
      </c>
      <c r="N4" s="25" t="s">
        <v>33</v>
      </c>
      <c r="O4" s="26"/>
      <c r="P4" s="26"/>
      <c r="Q4" s="26">
        <v>0.45</v>
      </c>
      <c r="R4" s="26"/>
      <c r="S4" s="26"/>
      <c r="T4" s="27" t="s">
        <v>51</v>
      </c>
    </row>
    <row r="5" spans="2:20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31</v>
      </c>
      <c r="G5" s="1" t="s">
        <v>13</v>
      </c>
      <c r="H5" s="1">
        <v>50</v>
      </c>
      <c r="I5" s="1">
        <f t="shared" ref="I5:I15" si="1">0.45*H5*F5/2</f>
        <v>348.75</v>
      </c>
      <c r="J5" s="1">
        <f t="shared" ref="J5:J15" si="2">0.55*H5*F5/2</f>
        <v>426.25000000000006</v>
      </c>
      <c r="K5" s="6" t="s">
        <v>18</v>
      </c>
      <c r="L5" s="6" t="s">
        <v>14</v>
      </c>
      <c r="N5" s="25" t="s">
        <v>36</v>
      </c>
      <c r="O5" s="26"/>
      <c r="P5" s="26"/>
      <c r="Q5" s="26">
        <v>0.46</v>
      </c>
      <c r="R5" s="26"/>
      <c r="S5" s="26"/>
      <c r="T5" s="27" t="s">
        <v>51</v>
      </c>
    </row>
    <row r="6" spans="2:20" ht="16.5" thickBot="1" x14ac:dyDescent="0.45">
      <c r="B6" s="15" t="s">
        <v>99</v>
      </c>
      <c r="C6" s="28" t="s">
        <v>65</v>
      </c>
      <c r="D6" s="71">
        <v>0</v>
      </c>
      <c r="E6" s="18">
        <f t="shared" si="0"/>
        <v>0</v>
      </c>
      <c r="F6" s="1">
        <v>30</v>
      </c>
      <c r="G6" s="1" t="s">
        <v>53</v>
      </c>
      <c r="H6" s="1">
        <v>50</v>
      </c>
      <c r="I6" s="1">
        <f t="shared" si="1"/>
        <v>337.5</v>
      </c>
      <c r="J6" s="1">
        <f t="shared" si="2"/>
        <v>412.50000000000006</v>
      </c>
      <c r="K6" s="6" t="s">
        <v>19</v>
      </c>
      <c r="L6" s="6" t="s">
        <v>18</v>
      </c>
      <c r="N6" s="25" t="s">
        <v>32</v>
      </c>
      <c r="O6" s="26"/>
      <c r="P6" s="26"/>
      <c r="Q6" s="26">
        <v>0.62</v>
      </c>
      <c r="R6" s="26"/>
      <c r="S6" s="26"/>
      <c r="T6" s="27" t="s">
        <v>51</v>
      </c>
    </row>
    <row r="7" spans="2:20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31</v>
      </c>
      <c r="G7" s="1" t="s">
        <v>55</v>
      </c>
      <c r="H7" s="1">
        <v>50</v>
      </c>
      <c r="I7" s="1">
        <f t="shared" si="1"/>
        <v>348.75</v>
      </c>
      <c r="J7" s="1">
        <f t="shared" si="2"/>
        <v>426.25000000000006</v>
      </c>
      <c r="K7" s="6" t="s">
        <v>20</v>
      </c>
      <c r="L7" s="6" t="s">
        <v>19</v>
      </c>
      <c r="N7" s="25" t="s">
        <v>35</v>
      </c>
      <c r="O7" s="26"/>
      <c r="P7" s="26"/>
      <c r="Q7" s="26">
        <v>0.39</v>
      </c>
      <c r="R7" s="26"/>
      <c r="S7" s="26"/>
      <c r="T7" s="27" t="s">
        <v>51</v>
      </c>
    </row>
    <row r="8" spans="2:20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57</v>
      </c>
      <c r="H8" s="1">
        <v>50</v>
      </c>
      <c r="I8" s="1">
        <f t="shared" si="1"/>
        <v>348.75</v>
      </c>
      <c r="J8" s="1">
        <f t="shared" si="2"/>
        <v>426.25000000000006</v>
      </c>
      <c r="K8" s="6" t="s">
        <v>21</v>
      </c>
      <c r="L8" s="6" t="s">
        <v>20</v>
      </c>
      <c r="N8" s="35" t="s">
        <v>34</v>
      </c>
      <c r="O8" s="36"/>
      <c r="P8" s="36"/>
      <c r="Q8" s="36">
        <v>0.56999999999999995</v>
      </c>
      <c r="R8" s="36"/>
      <c r="S8" s="36"/>
      <c r="T8" s="37" t="s">
        <v>51</v>
      </c>
    </row>
    <row r="9" spans="2:20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30</v>
      </c>
      <c r="G9" s="1" t="s">
        <v>59</v>
      </c>
      <c r="H9" s="1">
        <v>50</v>
      </c>
      <c r="I9" s="1">
        <f t="shared" si="1"/>
        <v>337.5</v>
      </c>
      <c r="J9" s="1">
        <f t="shared" si="2"/>
        <v>412.50000000000006</v>
      </c>
      <c r="K9" s="6" t="s">
        <v>22</v>
      </c>
      <c r="L9" s="6" t="s">
        <v>21</v>
      </c>
    </row>
    <row r="10" spans="2:20" ht="16.5" thickBot="1" x14ac:dyDescent="0.45">
      <c r="B10" s="12" t="s">
        <v>60</v>
      </c>
      <c r="C10" s="23"/>
      <c r="D10" s="38">
        <v>3550.5</v>
      </c>
      <c r="E10" s="24">
        <f t="shared" si="0"/>
        <v>3550.5</v>
      </c>
      <c r="F10" s="1">
        <v>31</v>
      </c>
      <c r="G10" s="1" t="s">
        <v>61</v>
      </c>
      <c r="H10" s="1">
        <v>50</v>
      </c>
      <c r="I10" s="1">
        <f t="shared" si="1"/>
        <v>348.75</v>
      </c>
      <c r="J10" s="1">
        <f t="shared" si="2"/>
        <v>426.25000000000006</v>
      </c>
      <c r="L10" s="6" t="s">
        <v>22</v>
      </c>
    </row>
    <row r="11" spans="2:20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30</v>
      </c>
      <c r="G11" s="1" t="s">
        <v>63</v>
      </c>
      <c r="H11" s="1">
        <v>50</v>
      </c>
      <c r="I11" s="1">
        <f t="shared" si="1"/>
        <v>337.5</v>
      </c>
      <c r="J11" s="1">
        <f t="shared" si="2"/>
        <v>412.50000000000006</v>
      </c>
    </row>
    <row r="12" spans="2:20" x14ac:dyDescent="0.4">
      <c r="B12" s="39" t="s">
        <v>64</v>
      </c>
      <c r="C12" s="40" t="s">
        <v>65</v>
      </c>
      <c r="D12" s="41">
        <f>I16</f>
        <v>4106.25</v>
      </c>
      <c r="E12" s="41">
        <f t="shared" si="0"/>
        <v>4106.25</v>
      </c>
      <c r="F12" s="1">
        <v>31</v>
      </c>
      <c r="G12" s="1" t="s">
        <v>66</v>
      </c>
      <c r="H12" s="1">
        <v>50</v>
      </c>
      <c r="I12" s="1">
        <f t="shared" si="1"/>
        <v>348.75</v>
      </c>
      <c r="J12" s="1">
        <f t="shared" si="2"/>
        <v>426.25000000000006</v>
      </c>
    </row>
    <row r="13" spans="2:20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68</v>
      </c>
      <c r="H13" s="1">
        <v>50</v>
      </c>
      <c r="I13" s="1">
        <f t="shared" si="1"/>
        <v>348.75</v>
      </c>
      <c r="J13" s="1">
        <f t="shared" si="2"/>
        <v>426.25000000000006</v>
      </c>
    </row>
    <row r="14" spans="2:20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28</v>
      </c>
      <c r="G14" s="1" t="s">
        <v>70</v>
      </c>
      <c r="H14" s="1">
        <v>50</v>
      </c>
      <c r="I14" s="1">
        <f t="shared" si="1"/>
        <v>315</v>
      </c>
      <c r="J14" s="1">
        <f t="shared" si="2"/>
        <v>385.00000000000006</v>
      </c>
    </row>
    <row r="15" spans="2:20" x14ac:dyDescent="0.4">
      <c r="B15" s="39" t="s">
        <v>71</v>
      </c>
      <c r="C15" s="28" t="s">
        <v>46</v>
      </c>
      <c r="D15" s="79">
        <v>0</v>
      </c>
      <c r="E15" s="41">
        <f t="shared" si="0"/>
        <v>0</v>
      </c>
      <c r="F15" s="1">
        <v>31</v>
      </c>
      <c r="G15" s="1" t="s">
        <v>72</v>
      </c>
      <c r="H15" s="1">
        <v>50</v>
      </c>
      <c r="I15" s="1">
        <f t="shared" si="1"/>
        <v>348.75</v>
      </c>
      <c r="J15" s="1">
        <f t="shared" si="2"/>
        <v>426.25000000000006</v>
      </c>
    </row>
    <row r="16" spans="2:20" x14ac:dyDescent="0.4">
      <c r="B16" s="39" t="s">
        <v>73</v>
      </c>
      <c r="C16" s="28" t="s">
        <v>65</v>
      </c>
      <c r="D16" s="74">
        <v>0</v>
      </c>
      <c r="E16" s="41">
        <f t="shared" si="0"/>
        <v>0</v>
      </c>
      <c r="I16" s="1">
        <f>SUM(I4:I15)</f>
        <v>4106.25</v>
      </c>
      <c r="J16" s="1">
        <f>SUM(J4:J15)</f>
        <v>5018.7500000000009</v>
      </c>
    </row>
    <row r="17" spans="2:15" x14ac:dyDescent="0.4">
      <c r="B17" s="39" t="s">
        <v>74</v>
      </c>
      <c r="C17" s="40" t="s">
        <v>46</v>
      </c>
      <c r="D17" s="74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f>20795+20172.5+510760+75470</f>
        <v>627197.5</v>
      </c>
      <c r="E19" s="41">
        <f t="shared" si="0"/>
        <v>627197.5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J16</f>
        <v>5018.7500000000009</v>
      </c>
      <c r="E23" s="41">
        <f t="shared" si="0"/>
        <v>5018.7500000000009</v>
      </c>
    </row>
    <row r="24" spans="2:15" x14ac:dyDescent="0.4">
      <c r="B24" s="39" t="s">
        <v>80</v>
      </c>
      <c r="C24" s="28" t="s">
        <v>46</v>
      </c>
      <c r="D24" s="74">
        <v>0</v>
      </c>
      <c r="E24" s="41">
        <f>SUM(D24:D24)</f>
        <v>0</v>
      </c>
    </row>
    <row r="25" spans="2:15" x14ac:dyDescent="0.4">
      <c r="B25" s="39" t="s">
        <v>81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82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83</v>
      </c>
      <c r="C27" s="28" t="s">
        <v>46</v>
      </c>
      <c r="D27" s="74">
        <v>0</v>
      </c>
      <c r="E27" s="41">
        <f t="shared" si="0"/>
        <v>0</v>
      </c>
    </row>
    <row r="28" spans="2:15" x14ac:dyDescent="0.4">
      <c r="B28" s="39" t="s">
        <v>84</v>
      </c>
      <c r="C28" s="28" t="s">
        <v>46</v>
      </c>
      <c r="D28" s="74">
        <v>0</v>
      </c>
      <c r="E28" s="41">
        <f t="shared" si="0"/>
        <v>0</v>
      </c>
    </row>
    <row r="29" spans="2:15" ht="16.5" thickBot="1" x14ac:dyDescent="0.45">
      <c r="B29" s="32" t="s">
        <v>85</v>
      </c>
      <c r="C29" s="28" t="s">
        <v>46</v>
      </c>
      <c r="D29" s="73">
        <v>0</v>
      </c>
      <c r="E29" s="34">
        <f t="shared" si="0"/>
        <v>0</v>
      </c>
    </row>
    <row r="30" spans="2:15" ht="18.5" thickBot="1" x14ac:dyDescent="0.45">
      <c r="B30" s="12" t="s">
        <v>86</v>
      </c>
      <c r="C30" s="23"/>
      <c r="D30" s="38">
        <v>0</v>
      </c>
      <c r="E30" s="24">
        <f t="shared" si="0"/>
        <v>0</v>
      </c>
    </row>
    <row r="31" spans="2:15" ht="18" x14ac:dyDescent="0.4">
      <c r="B31" s="29" t="s">
        <v>87</v>
      </c>
      <c r="C31" s="43" t="s">
        <v>46</v>
      </c>
      <c r="D31" s="72">
        <v>0</v>
      </c>
      <c r="E31" s="31">
        <f t="shared" si="0"/>
        <v>0</v>
      </c>
    </row>
    <row r="32" spans="2:15" ht="16.5" thickBot="1" x14ac:dyDescent="0.45">
      <c r="O32" s="44"/>
    </row>
    <row r="33" spans="2:15" ht="32" x14ac:dyDescent="0.4">
      <c r="B33" s="45" t="s">
        <v>88</v>
      </c>
      <c r="C33" s="46" t="s">
        <v>89</v>
      </c>
      <c r="D33" s="46" t="s">
        <v>90</v>
      </c>
      <c r="E33" s="47" t="s">
        <v>91</v>
      </c>
      <c r="O33" s="44"/>
    </row>
    <row r="34" spans="2:15" x14ac:dyDescent="0.4">
      <c r="B34" s="48" t="s">
        <v>45</v>
      </c>
      <c r="C34" s="39" t="str">
        <f>VLOOKUP($B34,$B$4:$C$31,2,0)</f>
        <v>Landfill</v>
      </c>
      <c r="D34" s="40">
        <f>(SUMIF($B$3:$B$31,$B34,$E$3:$E$31)*1000)/1.1</f>
        <v>0</v>
      </c>
      <c r="E34" s="49" t="s">
        <v>92</v>
      </c>
      <c r="O34" s="44"/>
    </row>
    <row r="35" spans="2:15" ht="16.5" thickBot="1" x14ac:dyDescent="0.45">
      <c r="B35" s="48" t="str">
        <f>B6</f>
        <v>Asbestos sheets [kg]</v>
      </c>
      <c r="C35" s="39" t="str">
        <f>VLOOKUP($B35,$B$4:$C$31,2,0)</f>
        <v>Landfill</v>
      </c>
      <c r="D35" s="40">
        <f t="shared" ref="D35:D46" si="3">SUMIF($B$3:$B$31,$B35,$E$3:$E$31)</f>
        <v>0</v>
      </c>
      <c r="E35" s="49" t="s">
        <v>92</v>
      </c>
    </row>
    <row r="36" spans="2:15" ht="16.5" thickBot="1" x14ac:dyDescent="0.45">
      <c r="B36" s="48" t="s">
        <v>56</v>
      </c>
      <c r="C36" s="39" t="str">
        <f t="shared" ref="C36:C46" si="4">VLOOKUP($B36,$B$4:$C$31,2,0)</f>
        <v>Recycled/Reused</v>
      </c>
      <c r="D36" s="40">
        <f t="shared" si="3"/>
        <v>0</v>
      </c>
      <c r="E36" s="49" t="s">
        <v>93</v>
      </c>
      <c r="G36" s="50" t="s">
        <v>46</v>
      </c>
      <c r="H36" s="51">
        <f>SUMIFS($D$34:$D$58,$C$34:$C$58,$G36)</f>
        <v>627197.5</v>
      </c>
    </row>
    <row r="37" spans="2:15" ht="16.5" thickBot="1" x14ac:dyDescent="0.45">
      <c r="B37" s="48" t="s">
        <v>58</v>
      </c>
      <c r="C37" s="39" t="str">
        <f t="shared" si="4"/>
        <v>Recycled/Reused</v>
      </c>
      <c r="D37" s="40">
        <f t="shared" si="3"/>
        <v>0</v>
      </c>
      <c r="E37" s="49" t="s">
        <v>93</v>
      </c>
      <c r="G37" s="52" t="s">
        <v>65</v>
      </c>
      <c r="H37" s="53">
        <f>SUMIFS($D$34:$D$58,$C$34:$C$58,$G37)</f>
        <v>9125</v>
      </c>
    </row>
    <row r="38" spans="2:15" ht="16.5" thickBot="1" x14ac:dyDescent="0.45">
      <c r="B38" s="48" t="s">
        <v>62</v>
      </c>
      <c r="C38" s="39" t="str">
        <f t="shared" si="4"/>
        <v>Recycled/Reused</v>
      </c>
      <c r="D38" s="40">
        <f t="shared" si="3"/>
        <v>0</v>
      </c>
      <c r="E38" s="49" t="s">
        <v>92</v>
      </c>
      <c r="G38" s="54" t="s">
        <v>31</v>
      </c>
      <c r="H38" s="55">
        <f>D59-SUM(D36:D37)</f>
        <v>636322.5</v>
      </c>
    </row>
    <row r="39" spans="2:15" ht="32.5" thickBot="1" x14ac:dyDescent="0.45">
      <c r="B39" s="48" t="s">
        <v>64</v>
      </c>
      <c r="C39" s="39" t="str">
        <f t="shared" si="4"/>
        <v>Landfill</v>
      </c>
      <c r="D39" s="40">
        <f t="shared" si="3"/>
        <v>4106.25</v>
      </c>
      <c r="E39" s="49" t="s">
        <v>92</v>
      </c>
      <c r="G39" s="56" t="s">
        <v>94</v>
      </c>
      <c r="H39" s="75">
        <f>IF(ISERROR(H36/H38), "ZERO Waste Generated", (H36/H38))</f>
        <v>0.98565978729339288</v>
      </c>
    </row>
    <row r="40" spans="2:15" x14ac:dyDescent="0.4">
      <c r="B40" s="48" t="s">
        <v>67</v>
      </c>
      <c r="C40" s="39" t="str">
        <f t="shared" si="4"/>
        <v>Landfill</v>
      </c>
      <c r="D40" s="40">
        <f t="shared" si="3"/>
        <v>0</v>
      </c>
      <c r="E40" s="49" t="s">
        <v>92</v>
      </c>
    </row>
    <row r="41" spans="2:15" x14ac:dyDescent="0.4">
      <c r="B41" s="48" t="s">
        <v>69</v>
      </c>
      <c r="C41" s="39" t="str">
        <f t="shared" si="4"/>
        <v>Recycled/Reused</v>
      </c>
      <c r="D41" s="40">
        <f t="shared" si="3"/>
        <v>0</v>
      </c>
      <c r="E41" s="49" t="s">
        <v>92</v>
      </c>
    </row>
    <row r="42" spans="2:15" ht="16.5" thickBot="1" x14ac:dyDescent="0.45">
      <c r="B42" s="48" t="s">
        <v>71</v>
      </c>
      <c r="C42" s="39" t="str">
        <f t="shared" si="4"/>
        <v>Recycled/Reused</v>
      </c>
      <c r="D42" s="40">
        <f t="shared" si="3"/>
        <v>0</v>
      </c>
      <c r="E42" s="49" t="s">
        <v>92</v>
      </c>
    </row>
    <row r="43" spans="2:15" x14ac:dyDescent="0.4">
      <c r="B43" s="48" t="s">
        <v>73</v>
      </c>
      <c r="C43" s="39" t="str">
        <f t="shared" si="4"/>
        <v>Landfill</v>
      </c>
      <c r="D43" s="40">
        <f t="shared" si="3"/>
        <v>0</v>
      </c>
      <c r="E43" s="49" t="s">
        <v>92</v>
      </c>
      <c r="G43" s="58" t="s">
        <v>95</v>
      </c>
      <c r="H43" s="51">
        <f>D39*0.5</f>
        <v>2053.125</v>
      </c>
    </row>
    <row r="44" spans="2:15" x14ac:dyDescent="0.4">
      <c r="B44" s="48" t="s">
        <v>74</v>
      </c>
      <c r="C44" s="39" t="str">
        <f t="shared" si="4"/>
        <v>Recycled/Reused</v>
      </c>
      <c r="D44" s="40">
        <f t="shared" si="3"/>
        <v>0</v>
      </c>
      <c r="E44" s="49" t="s">
        <v>92</v>
      </c>
      <c r="G44" s="59" t="s">
        <v>96</v>
      </c>
      <c r="H44" s="60">
        <f>SUM(D42,D49,D56)</f>
        <v>0</v>
      </c>
    </row>
    <row r="45" spans="2:15" ht="16.5" thickBot="1" x14ac:dyDescent="0.45">
      <c r="B45" s="48" t="s">
        <v>75</v>
      </c>
      <c r="C45" s="39" t="str">
        <f t="shared" si="4"/>
        <v>Landfill</v>
      </c>
      <c r="D45" s="40">
        <f t="shared" si="3"/>
        <v>0</v>
      </c>
      <c r="E45" s="49" t="s">
        <v>92</v>
      </c>
      <c r="G45" s="61" t="s">
        <v>97</v>
      </c>
      <c r="H45" s="62">
        <f>D57</f>
        <v>0</v>
      </c>
    </row>
    <row r="46" spans="2:15" x14ac:dyDescent="0.4">
      <c r="B46" s="48" t="s">
        <v>76</v>
      </c>
      <c r="C46" s="39" t="str">
        <f t="shared" si="4"/>
        <v>Recycled/Reused</v>
      </c>
      <c r="D46" s="40">
        <f t="shared" si="3"/>
        <v>627197.5</v>
      </c>
      <c r="E46" s="49" t="s">
        <v>92</v>
      </c>
    </row>
    <row r="47" spans="2:15" x14ac:dyDescent="0.4">
      <c r="B47" s="48" t="s">
        <v>77</v>
      </c>
      <c r="C47" s="39" t="s">
        <v>46</v>
      </c>
      <c r="D47" s="40">
        <f>SUMIF($B$3:$B$31,$B47,$E$3:$E$31)*0.9</f>
        <v>0</v>
      </c>
      <c r="E47" s="49" t="s">
        <v>92</v>
      </c>
    </row>
    <row r="48" spans="2:15" x14ac:dyDescent="0.4">
      <c r="B48" s="48" t="s">
        <v>77</v>
      </c>
      <c r="C48" s="39" t="str">
        <f>VLOOKUP($B48,$B$4:$C$31,2,0)</f>
        <v>Landfill</v>
      </c>
      <c r="D48" s="40">
        <f>SUMIF($B$3:$B$31,$B48,$E$3:$E$31)*0.1</f>
        <v>0</v>
      </c>
      <c r="E48" s="49" t="s">
        <v>92</v>
      </c>
    </row>
    <row r="49" spans="2:5" x14ac:dyDescent="0.4">
      <c r="B49" s="48" t="s">
        <v>78</v>
      </c>
      <c r="C49" s="39" t="str">
        <f>VLOOKUP($B49,$B$4:$C$31,2,0)</f>
        <v>Recycled/Reused</v>
      </c>
      <c r="D49" s="40">
        <f>SUMIF($B$3:$B$31,$B49,$E$3:$E$31)</f>
        <v>0</v>
      </c>
      <c r="E49" s="49" t="s">
        <v>92</v>
      </c>
    </row>
    <row r="50" spans="2:5" x14ac:dyDescent="0.4">
      <c r="B50" s="48" t="s">
        <v>79</v>
      </c>
      <c r="C50" s="39" t="str">
        <f>VLOOKUP($B50,$B$4:$C$31,2,0)</f>
        <v>Recycled/Reused</v>
      </c>
      <c r="D50" s="40">
        <f>SUMIF($B$3:$B$31,$B50,$E$3:$E$31)</f>
        <v>0</v>
      </c>
      <c r="E50" s="49" t="s">
        <v>92</v>
      </c>
    </row>
    <row r="51" spans="2:5" x14ac:dyDescent="0.4">
      <c r="B51" s="48" t="s">
        <v>80</v>
      </c>
      <c r="C51" s="39" t="str">
        <f>VLOOKUP($B51,$B$4:$C$31,2,0)</f>
        <v>Landfill</v>
      </c>
      <c r="D51" s="40">
        <f>SUMIFS($E$3:$E$31, $B$3:$B$31,$B51, $C$3:$C$31, $C51)</f>
        <v>5018.7500000000009</v>
      </c>
      <c r="E51" s="49" t="s">
        <v>92</v>
      </c>
    </row>
    <row r="52" spans="2:5" x14ac:dyDescent="0.4">
      <c r="B52" s="48" t="s">
        <v>80</v>
      </c>
      <c r="C52" s="39" t="s">
        <v>46</v>
      </c>
      <c r="D52" s="40">
        <f>SUMIFS($E$3:$E$31, $B$3:$B$31,$B52, $C$3:$C$31, $C52)</f>
        <v>0</v>
      </c>
      <c r="E52" s="49" t="s">
        <v>92</v>
      </c>
    </row>
    <row r="53" spans="2:5" x14ac:dyDescent="0.4">
      <c r="B53" s="48" t="s">
        <v>81</v>
      </c>
      <c r="C53" s="39" t="str">
        <f t="shared" ref="C53:C58" si="5">VLOOKUP($B53,$B$4:$C$31,2,0)</f>
        <v>Recycled/Reused</v>
      </c>
      <c r="D53" s="40">
        <f>SUMIF($B$3:$B$31,$B53,$E$3:$E$31)</f>
        <v>0</v>
      </c>
      <c r="E53" s="49" t="s">
        <v>92</v>
      </c>
    </row>
    <row r="54" spans="2:5" x14ac:dyDescent="0.4">
      <c r="B54" s="48" t="s">
        <v>82</v>
      </c>
      <c r="C54" s="39" t="str">
        <f t="shared" si="5"/>
        <v>Recycled/Reused</v>
      </c>
      <c r="D54" s="40">
        <f>SUMIF($B$3:$B$31,$B54,$E$3:$E$31)</f>
        <v>0</v>
      </c>
      <c r="E54" s="49" t="s">
        <v>92</v>
      </c>
    </row>
    <row r="55" spans="2:5" x14ac:dyDescent="0.4">
      <c r="B55" s="48" t="s">
        <v>83</v>
      </c>
      <c r="C55" s="39" t="str">
        <f t="shared" si="5"/>
        <v>Recycled/Reused</v>
      </c>
      <c r="D55" s="40">
        <f>SUMIF($B$3:$B$31,$B55,$E$3:$E$31)</f>
        <v>0</v>
      </c>
      <c r="E55" s="49" t="s">
        <v>92</v>
      </c>
    </row>
    <row r="56" spans="2:5" x14ac:dyDescent="0.4">
      <c r="B56" s="48" t="s">
        <v>84</v>
      </c>
      <c r="C56" s="39" t="str">
        <f t="shared" si="5"/>
        <v>Recycled/Reused</v>
      </c>
      <c r="D56" s="40">
        <f>SUMIF($B$3:$B$31,$B56,$E$3:$E$31)</f>
        <v>0</v>
      </c>
      <c r="E56" s="49" t="s">
        <v>92</v>
      </c>
    </row>
    <row r="57" spans="2:5" x14ac:dyDescent="0.4">
      <c r="B57" s="48" t="s">
        <v>85</v>
      </c>
      <c r="C57" s="39" t="str">
        <f t="shared" si="5"/>
        <v>Recycled/Reused</v>
      </c>
      <c r="D57" s="40">
        <f>SUMIF($B$3:$B$31,$B57,$E$3:$E$31)</f>
        <v>0</v>
      </c>
      <c r="E57" s="49" t="s">
        <v>92</v>
      </c>
    </row>
    <row r="58" spans="2:5" ht="18.5" thickBot="1" x14ac:dyDescent="0.45">
      <c r="B58" s="64" t="s">
        <v>87</v>
      </c>
      <c r="C58" s="65" t="str">
        <f t="shared" si="5"/>
        <v>Recycled/Reused</v>
      </c>
      <c r="D58" s="66">
        <f>SUMIF($B$3:$B$31,$B58,$E$3:$E$31)*1620</f>
        <v>0</v>
      </c>
      <c r="E58" s="67" t="s">
        <v>92</v>
      </c>
    </row>
    <row r="59" spans="2:5" ht="16.5" thickBot="1" x14ac:dyDescent="0.45">
      <c r="B59" s="192" t="s">
        <v>31</v>
      </c>
      <c r="C59" s="193"/>
      <c r="D59" s="194">
        <f>SUM(D34:D58)</f>
        <v>636322.5</v>
      </c>
      <c r="E59" s="195"/>
    </row>
  </sheetData>
  <mergeCells count="4">
    <mergeCell ref="C1:C2"/>
    <mergeCell ref="N2:T2"/>
    <mergeCell ref="B59:C59"/>
    <mergeCell ref="D59:E59"/>
  </mergeCells>
  <dataValidations count="1">
    <dataValidation type="list" allowBlank="1" showInputMessage="1" showErrorMessage="1" sqref="B2" xr:uid="{AA1A38DF-096D-4992-BFED-CE41A13BA104}">
      <formula1>$L$2:$L$10</formula1>
    </dataValidation>
  </dataValidations>
  <hyperlinks>
    <hyperlink ref="P3" r:id="rId1" xr:uid="{1DB92C16-A3DC-40A1-B26C-5CB400700845}"/>
  </hyperlinks>
  <pageMargins left="0.7" right="0.7" top="0.75" bottom="0.75" header="0.3" footer="0.3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DBE0C-83DC-4E81-B2ED-644A724E4992}">
  <sheetPr>
    <tabColor rgb="FF92D050"/>
  </sheetPr>
  <dimension ref="B1:T58"/>
  <sheetViews>
    <sheetView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20" ht="20.25" customHeight="1" thickBot="1" x14ac:dyDescent="0.45">
      <c r="B1" s="7" t="s">
        <v>37</v>
      </c>
      <c r="C1" s="187" t="s">
        <v>38</v>
      </c>
      <c r="D1" s="76" t="s">
        <v>39</v>
      </c>
      <c r="E1" s="69"/>
    </row>
    <row r="2" spans="2:20" ht="29.5" thickBot="1" x14ac:dyDescent="0.45">
      <c r="B2" s="9" t="s">
        <v>14</v>
      </c>
      <c r="C2" s="188"/>
      <c r="D2" s="70" t="s">
        <v>12</v>
      </c>
      <c r="E2" s="11" t="s">
        <v>40</v>
      </c>
      <c r="L2" s="6" t="s">
        <v>15</v>
      </c>
    </row>
    <row r="3" spans="2:20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L3" s="6" t="s">
        <v>16</v>
      </c>
    </row>
    <row r="4" spans="2:20" ht="16.5" thickBot="1" x14ac:dyDescent="0.45">
      <c r="B4" s="15" t="s">
        <v>45</v>
      </c>
      <c r="C4" s="16" t="s">
        <v>65</v>
      </c>
      <c r="D4" s="71">
        <v>0</v>
      </c>
      <c r="E4" s="18">
        <f t="shared" si="0"/>
        <v>0</v>
      </c>
      <c r="I4" s="1" t="s">
        <v>42</v>
      </c>
      <c r="J4" s="1" t="s">
        <v>43</v>
      </c>
      <c r="L4" s="6" t="s">
        <v>17</v>
      </c>
      <c r="N4" s="189" t="s">
        <v>44</v>
      </c>
      <c r="O4" s="190"/>
      <c r="P4" s="190"/>
      <c r="Q4" s="190"/>
      <c r="R4" s="190"/>
      <c r="S4" s="190"/>
      <c r="T4" s="191"/>
    </row>
    <row r="5" spans="2:20" ht="16.5" thickBot="1" x14ac:dyDescent="0.45">
      <c r="B5" s="12" t="s">
        <v>50</v>
      </c>
      <c r="C5" s="23"/>
      <c r="D5" s="38">
        <v>1</v>
      </c>
      <c r="E5" s="24">
        <f t="shared" si="0"/>
        <v>1</v>
      </c>
      <c r="F5" s="1">
        <v>30</v>
      </c>
      <c r="G5" s="1" t="s">
        <v>47</v>
      </c>
      <c r="H5" s="1">
        <v>67</v>
      </c>
      <c r="I5" s="1">
        <f>0.6*H5*F5/2</f>
        <v>602.99999999999989</v>
      </c>
      <c r="J5" s="1">
        <f>0.4*H5*F5/2</f>
        <v>402</v>
      </c>
      <c r="L5" s="6" t="s">
        <v>14</v>
      </c>
      <c r="N5" s="19" t="s">
        <v>48</v>
      </c>
      <c r="O5" s="20"/>
      <c r="P5" s="21" t="s">
        <v>49</v>
      </c>
      <c r="Q5" s="20"/>
      <c r="R5" s="20"/>
      <c r="S5" s="20"/>
      <c r="T5" s="22"/>
    </row>
    <row r="6" spans="2:20" ht="16.5" thickBot="1" x14ac:dyDescent="0.45">
      <c r="B6" s="15" t="s">
        <v>52</v>
      </c>
      <c r="C6" s="28" t="s">
        <v>46</v>
      </c>
      <c r="D6" s="71">
        <v>1</v>
      </c>
      <c r="E6" s="18">
        <f t="shared" si="0"/>
        <v>1</v>
      </c>
      <c r="F6" s="1">
        <v>31</v>
      </c>
      <c r="G6" s="1" t="s">
        <v>13</v>
      </c>
      <c r="H6" s="1">
        <v>67</v>
      </c>
      <c r="I6" s="1">
        <f t="shared" ref="I6:I16" si="1">0.6*H6*F6/2</f>
        <v>623.09999999999991</v>
      </c>
      <c r="J6" s="1">
        <f t="shared" ref="J6:J16" si="2">0.4*H6*F6/2</f>
        <v>415.40000000000003</v>
      </c>
      <c r="L6" s="6" t="s">
        <v>18</v>
      </c>
      <c r="N6" s="25" t="s">
        <v>33</v>
      </c>
      <c r="O6" s="26"/>
      <c r="P6" s="26"/>
      <c r="Q6" s="26">
        <v>0.45</v>
      </c>
      <c r="R6" s="26"/>
      <c r="S6" s="26"/>
      <c r="T6" s="27" t="s">
        <v>51</v>
      </c>
    </row>
    <row r="7" spans="2:20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30</v>
      </c>
      <c r="G7" s="1" t="s">
        <v>53</v>
      </c>
      <c r="H7" s="1">
        <v>67</v>
      </c>
      <c r="I7" s="1">
        <f t="shared" si="1"/>
        <v>602.99999999999989</v>
      </c>
      <c r="J7" s="1">
        <f t="shared" si="2"/>
        <v>402</v>
      </c>
      <c r="L7" s="6" t="s">
        <v>19</v>
      </c>
      <c r="N7" s="25" t="s">
        <v>36</v>
      </c>
      <c r="O7" s="26"/>
      <c r="P7" s="26"/>
      <c r="Q7" s="26">
        <v>0.46</v>
      </c>
      <c r="R7" s="26"/>
      <c r="S7" s="26"/>
      <c r="T7" s="27" t="s">
        <v>51</v>
      </c>
    </row>
    <row r="8" spans="2:20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55</v>
      </c>
      <c r="H8" s="1">
        <v>67</v>
      </c>
      <c r="I8" s="1">
        <f t="shared" si="1"/>
        <v>623.09999999999991</v>
      </c>
      <c r="J8" s="1">
        <f t="shared" si="2"/>
        <v>415.40000000000003</v>
      </c>
      <c r="L8" s="6" t="s">
        <v>20</v>
      </c>
      <c r="N8" s="25" t="s">
        <v>32</v>
      </c>
      <c r="O8" s="26"/>
      <c r="P8" s="26"/>
      <c r="Q8" s="26">
        <v>0.62</v>
      </c>
      <c r="R8" s="26"/>
      <c r="S8" s="26"/>
      <c r="T8" s="27" t="s">
        <v>51</v>
      </c>
    </row>
    <row r="9" spans="2:20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31</v>
      </c>
      <c r="G9" s="1" t="s">
        <v>57</v>
      </c>
      <c r="H9" s="1">
        <v>67</v>
      </c>
      <c r="I9" s="1">
        <f t="shared" si="1"/>
        <v>623.09999999999991</v>
      </c>
      <c r="J9" s="1">
        <f t="shared" si="2"/>
        <v>415.40000000000003</v>
      </c>
      <c r="L9" s="6" t="s">
        <v>21</v>
      </c>
      <c r="N9" s="25" t="s">
        <v>35</v>
      </c>
      <c r="O9" s="26"/>
      <c r="P9" s="26"/>
      <c r="Q9" s="26">
        <v>0.39</v>
      </c>
      <c r="R9" s="26"/>
      <c r="S9" s="26"/>
      <c r="T9" s="27" t="s">
        <v>51</v>
      </c>
    </row>
    <row r="10" spans="2:20" ht="16.5" thickBot="1" x14ac:dyDescent="0.45">
      <c r="B10" s="12" t="s">
        <v>60</v>
      </c>
      <c r="C10" s="23"/>
      <c r="D10" s="38">
        <v>188.99600000000001</v>
      </c>
      <c r="E10" s="24">
        <f t="shared" si="0"/>
        <v>188.99600000000001</v>
      </c>
      <c r="F10" s="1">
        <v>30</v>
      </c>
      <c r="G10" s="1" t="s">
        <v>59</v>
      </c>
      <c r="H10" s="1">
        <v>67</v>
      </c>
      <c r="I10" s="1">
        <f t="shared" si="1"/>
        <v>602.99999999999989</v>
      </c>
      <c r="J10" s="1">
        <f t="shared" si="2"/>
        <v>402</v>
      </c>
      <c r="L10" s="6" t="s">
        <v>22</v>
      </c>
      <c r="N10" s="35" t="s">
        <v>34</v>
      </c>
      <c r="O10" s="36"/>
      <c r="P10" s="36"/>
      <c r="Q10" s="36">
        <v>0.56999999999999995</v>
      </c>
      <c r="R10" s="36"/>
      <c r="S10" s="36"/>
      <c r="T10" s="37" t="s">
        <v>51</v>
      </c>
    </row>
    <row r="11" spans="2:20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31</v>
      </c>
      <c r="G11" s="1" t="s">
        <v>61</v>
      </c>
      <c r="H11" s="1">
        <v>67</v>
      </c>
      <c r="I11" s="1">
        <f t="shared" si="1"/>
        <v>623.09999999999991</v>
      </c>
      <c r="J11" s="1">
        <f t="shared" si="2"/>
        <v>415.40000000000003</v>
      </c>
    </row>
    <row r="12" spans="2:20" x14ac:dyDescent="0.4">
      <c r="B12" s="39" t="s">
        <v>64</v>
      </c>
      <c r="C12" s="40" t="s">
        <v>65</v>
      </c>
      <c r="D12" s="41">
        <f>I17</f>
        <v>7336.5</v>
      </c>
      <c r="E12" s="41">
        <f t="shared" si="0"/>
        <v>7336.5</v>
      </c>
      <c r="F12" s="1">
        <v>30</v>
      </c>
      <c r="G12" s="1" t="s">
        <v>63</v>
      </c>
      <c r="H12" s="1">
        <v>67</v>
      </c>
      <c r="I12" s="1">
        <f t="shared" si="1"/>
        <v>602.99999999999989</v>
      </c>
      <c r="J12" s="1">
        <f t="shared" si="2"/>
        <v>402</v>
      </c>
    </row>
    <row r="13" spans="2:20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66</v>
      </c>
      <c r="H13" s="1">
        <v>67</v>
      </c>
      <c r="I13" s="1">
        <f t="shared" si="1"/>
        <v>623.09999999999991</v>
      </c>
      <c r="J13" s="1">
        <f t="shared" si="2"/>
        <v>415.40000000000003</v>
      </c>
    </row>
    <row r="14" spans="2:20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31</v>
      </c>
      <c r="G14" s="1" t="s">
        <v>68</v>
      </c>
      <c r="H14" s="1">
        <v>67</v>
      </c>
      <c r="I14" s="1">
        <f t="shared" si="1"/>
        <v>623.09999999999991</v>
      </c>
      <c r="J14" s="1">
        <f t="shared" si="2"/>
        <v>415.40000000000003</v>
      </c>
    </row>
    <row r="15" spans="2:20" x14ac:dyDescent="0.4">
      <c r="B15" s="39" t="s">
        <v>71</v>
      </c>
      <c r="C15" s="28" t="s">
        <v>46</v>
      </c>
      <c r="D15" s="79">
        <v>0</v>
      </c>
      <c r="E15" s="41">
        <f t="shared" si="0"/>
        <v>0</v>
      </c>
      <c r="F15" s="1">
        <v>28</v>
      </c>
      <c r="G15" s="1" t="s">
        <v>70</v>
      </c>
      <c r="H15" s="1">
        <v>67</v>
      </c>
      <c r="I15" s="1">
        <f t="shared" si="1"/>
        <v>562.79999999999995</v>
      </c>
      <c r="J15" s="1">
        <f t="shared" si="2"/>
        <v>375.2</v>
      </c>
    </row>
    <row r="16" spans="2:20" x14ac:dyDescent="0.4">
      <c r="B16" s="39" t="s">
        <v>73</v>
      </c>
      <c r="C16" s="28" t="s">
        <v>46</v>
      </c>
      <c r="D16" s="74">
        <v>0</v>
      </c>
      <c r="E16" s="41">
        <f t="shared" si="0"/>
        <v>0</v>
      </c>
      <c r="F16" s="1">
        <v>31</v>
      </c>
      <c r="G16" s="1" t="s">
        <v>72</v>
      </c>
      <c r="H16" s="1">
        <v>67</v>
      </c>
      <c r="I16" s="1">
        <f t="shared" si="1"/>
        <v>623.09999999999991</v>
      </c>
      <c r="J16" s="1">
        <f t="shared" si="2"/>
        <v>415.40000000000003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  <c r="I17" s="1">
        <f>SUM(I5:I16)</f>
        <v>7336.5</v>
      </c>
      <c r="J17" s="1">
        <f>SUM(J5:J16)</f>
        <v>4891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1.528</v>
      </c>
      <c r="E22" s="41">
        <f t="shared" si="0"/>
        <v>1.528</v>
      </c>
    </row>
    <row r="23" spans="2:15" x14ac:dyDescent="0.4">
      <c r="B23" s="39" t="s">
        <v>80</v>
      </c>
      <c r="C23" s="28" t="s">
        <v>65</v>
      </c>
      <c r="D23" s="74">
        <f>J17</f>
        <v>4891</v>
      </c>
      <c r="E23" s="41">
        <f t="shared" si="0"/>
        <v>4891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Landfill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7" si="3">VLOOKUP($B34,$B$4:$C$30,2,0)</f>
        <v>Recycled/Reused</v>
      </c>
      <c r="D34" s="40">
        <f t="shared" ref="D34:D56" si="4">SUMIF($B$3:$B$30,$B34,$E$3:$E$30)</f>
        <v>1</v>
      </c>
      <c r="E34" s="49" t="s">
        <v>92</v>
      </c>
    </row>
    <row r="35" spans="2:15" ht="16.5" thickBot="1" x14ac:dyDescent="0.45">
      <c r="B35" s="48" t="s">
        <v>56</v>
      </c>
      <c r="C35" s="39" t="s">
        <v>46</v>
      </c>
      <c r="D35" s="40">
        <f t="shared" si="4"/>
        <v>0</v>
      </c>
      <c r="E35" s="49" t="s">
        <v>93</v>
      </c>
      <c r="G35" s="50" t="s">
        <v>46</v>
      </c>
      <c r="H35" s="51">
        <f>SUMIFS($D$33:$D$57,$C$33:$C$57,$G35)</f>
        <v>2.528</v>
      </c>
    </row>
    <row r="36" spans="2:15" ht="16.5" thickBot="1" x14ac:dyDescent="0.45">
      <c r="B36" s="48" t="s">
        <v>58</v>
      </c>
      <c r="C36" s="39" t="s">
        <v>46</v>
      </c>
      <c r="D36" s="40">
        <f t="shared" si="4"/>
        <v>0</v>
      </c>
      <c r="E36" s="49" t="s">
        <v>93</v>
      </c>
      <c r="G36" s="52" t="s">
        <v>65</v>
      </c>
      <c r="H36" s="53">
        <f>SUMIFS($D$33:$D$57,$C$33:$C$57,$G36)</f>
        <v>12227.5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D58-SUM(D35:D36)</f>
        <v>12230.028</v>
      </c>
    </row>
    <row r="38" spans="2:15" ht="32.5" thickBot="1" x14ac:dyDescent="0.45">
      <c r="B38" s="48" t="s">
        <v>64</v>
      </c>
      <c r="C38" s="39" t="str">
        <f t="shared" si="3"/>
        <v>Landfill</v>
      </c>
      <c r="D38" s="40">
        <f t="shared" si="4"/>
        <v>7336.5</v>
      </c>
      <c r="E38" s="49" t="s">
        <v>92</v>
      </c>
      <c r="G38" s="56" t="s">
        <v>94</v>
      </c>
      <c r="H38" s="75">
        <f>IF(ISERROR(H35/H37), "ZERO Waste Generated", (H35/H37))</f>
        <v>2.0670435096305584E-4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>SUMIF($B$3:$B$30,$B42,$E$3:$E$30)*0.5</f>
        <v>0</v>
      </c>
      <c r="E42" s="49" t="s">
        <v>92</v>
      </c>
      <c r="G42" s="58" t="s">
        <v>95</v>
      </c>
      <c r="H42" s="51">
        <f>D38*0.5</f>
        <v>3668.25</v>
      </c>
    </row>
    <row r="43" spans="2:15" x14ac:dyDescent="0.4">
      <c r="B43" s="48" t="s">
        <v>73</v>
      </c>
      <c r="C43" s="39" t="s">
        <v>65</v>
      </c>
      <c r="D43" s="40">
        <f>SUMIF($B$3:$B$30,$B43,$E$3:$E$30)*0.5</f>
        <v>0</v>
      </c>
      <c r="E43" s="49" t="s">
        <v>92</v>
      </c>
      <c r="G43" s="59" t="s">
        <v>96</v>
      </c>
      <c r="H43" s="60">
        <f>SUM(D41,D48,D55)</f>
        <v>0</v>
      </c>
    </row>
    <row r="44" spans="2:15" ht="16.5" thickBot="1" x14ac:dyDescent="0.45">
      <c r="B44" s="48" t="s">
        <v>74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D56</f>
        <v>0</v>
      </c>
    </row>
    <row r="45" spans="2:15" x14ac:dyDescent="0.4">
      <c r="B45" s="48" t="s">
        <v>75</v>
      </c>
      <c r="C45" s="39" t="str">
        <f t="shared" si="3"/>
        <v>Landfill</v>
      </c>
      <c r="D45" s="40">
        <f t="shared" si="4"/>
        <v>0</v>
      </c>
      <c r="E45" s="49" t="s">
        <v>92</v>
      </c>
    </row>
    <row r="46" spans="2:15" x14ac:dyDescent="0.4">
      <c r="B46" s="48" t="s">
        <v>76</v>
      </c>
      <c r="C46" s="39" t="str">
        <f t="shared" si="3"/>
        <v>Recycled/Reused</v>
      </c>
      <c r="D46" s="40">
        <f t="shared" si="4"/>
        <v>0</v>
      </c>
      <c r="E46" s="49" t="s">
        <v>92</v>
      </c>
    </row>
    <row r="47" spans="2:15" x14ac:dyDescent="0.4">
      <c r="B47" s="48" t="s">
        <v>77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78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79</v>
      </c>
      <c r="C49" s="39" t="str">
        <f t="shared" si="3"/>
        <v>Recycled/Reused</v>
      </c>
      <c r="D49" s="40">
        <f t="shared" si="4"/>
        <v>1.528</v>
      </c>
      <c r="E49" s="49" t="s">
        <v>92</v>
      </c>
    </row>
    <row r="50" spans="2:5" x14ac:dyDescent="0.4">
      <c r="B50" s="48" t="s">
        <v>80</v>
      </c>
      <c r="C50" s="39" t="str">
        <f t="shared" si="3"/>
        <v>Landfill</v>
      </c>
      <c r="D50" s="40">
        <f t="shared" si="4"/>
        <v>4891</v>
      </c>
      <c r="E50" s="49" t="s">
        <v>92</v>
      </c>
    </row>
    <row r="51" spans="2:5" x14ac:dyDescent="0.4">
      <c r="B51" s="48" t="s">
        <v>81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82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83</v>
      </c>
      <c r="C53" s="39" t="s">
        <v>65</v>
      </c>
      <c r="D53" s="40">
        <f>SUMIF($B$3:$B$30,$B53,$E$3:$E$30)*0.3</f>
        <v>0</v>
      </c>
      <c r="E53" s="49" t="s">
        <v>92</v>
      </c>
    </row>
    <row r="54" spans="2:5" x14ac:dyDescent="0.4">
      <c r="B54" s="48" t="s">
        <v>83</v>
      </c>
      <c r="C54" s="39" t="str">
        <f t="shared" si="3"/>
        <v>Recycled/Reused</v>
      </c>
      <c r="D54" s="40">
        <f>SUMIF($B$3:$B$30,$B54,$E$3:$E$30)*0.7</f>
        <v>0</v>
      </c>
      <c r="E54" s="49" t="s">
        <v>92</v>
      </c>
    </row>
    <row r="55" spans="2:5" x14ac:dyDescent="0.4">
      <c r="B55" s="48" t="s">
        <v>84</v>
      </c>
      <c r="C55" s="39" t="str">
        <f t="shared" si="3"/>
        <v>Recycled/Reused</v>
      </c>
      <c r="D55" s="40">
        <f t="shared" si="4"/>
        <v>0</v>
      </c>
      <c r="E55" s="49" t="s">
        <v>92</v>
      </c>
    </row>
    <row r="56" spans="2:5" x14ac:dyDescent="0.4">
      <c r="B56" s="48" t="s">
        <v>85</v>
      </c>
      <c r="C56" s="39" t="str">
        <f t="shared" si="3"/>
        <v>Recycled/Reused</v>
      </c>
      <c r="D56" s="40">
        <f t="shared" si="4"/>
        <v>0</v>
      </c>
      <c r="E56" s="49" t="s">
        <v>92</v>
      </c>
    </row>
    <row r="57" spans="2:5" ht="18.5" thickBot="1" x14ac:dyDescent="0.45">
      <c r="B57" s="64" t="s">
        <v>87</v>
      </c>
      <c r="C57" s="65" t="str">
        <f t="shared" si="3"/>
        <v>Recycled/Reused</v>
      </c>
      <c r="D57" s="66">
        <f>SUMIF($B$3:$B$30,$B57,$E$3:$E$30)*1620</f>
        <v>0</v>
      </c>
      <c r="E57" s="67" t="s">
        <v>92</v>
      </c>
    </row>
    <row r="58" spans="2:5" ht="16.5" thickBot="1" x14ac:dyDescent="0.45">
      <c r="B58" s="192" t="s">
        <v>31</v>
      </c>
      <c r="C58" s="193"/>
      <c r="D58" s="194">
        <f>SUM(D33:D57)</f>
        <v>12230.028</v>
      </c>
      <c r="E58" s="195"/>
    </row>
  </sheetData>
  <mergeCells count="4">
    <mergeCell ref="C1:C2"/>
    <mergeCell ref="N4:T4"/>
    <mergeCell ref="B58:C58"/>
    <mergeCell ref="D58:E58"/>
  </mergeCells>
  <dataValidations count="1">
    <dataValidation type="list" allowBlank="1" showInputMessage="1" showErrorMessage="1" sqref="B2" xr:uid="{9F0D871C-F4AF-4335-82AC-DA5DC05F5EE1}">
      <formula1>$L$2:$L$10</formula1>
    </dataValidation>
  </dataValidations>
  <hyperlinks>
    <hyperlink ref="P5" r:id="rId1" xr:uid="{051F915B-CCDB-4752-B140-7ECBD40DB319}"/>
  </hyperlinks>
  <pageMargins left="0.7" right="0.7" top="0.75" bottom="0.75" header="0.3" footer="0.3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9793D-5336-4B7A-8F54-1667FE3000CA}">
  <sheetPr>
    <tabColor rgb="FF92D050"/>
  </sheetPr>
  <dimension ref="B1:U56"/>
  <sheetViews>
    <sheetView topLeftCell="A39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21" ht="20.25" customHeight="1" thickBot="1" x14ac:dyDescent="0.45">
      <c r="B1" s="7" t="s">
        <v>37</v>
      </c>
      <c r="C1" s="187" t="s">
        <v>38</v>
      </c>
      <c r="D1" s="76" t="s">
        <v>39</v>
      </c>
      <c r="E1" s="69"/>
    </row>
    <row r="2" spans="2:21" ht="29.5" thickBot="1" x14ac:dyDescent="0.45">
      <c r="B2" s="9" t="s">
        <v>17</v>
      </c>
      <c r="C2" s="188"/>
      <c r="D2" s="70" t="s">
        <v>108</v>
      </c>
      <c r="E2" s="11" t="s">
        <v>40</v>
      </c>
      <c r="L2" s="6" t="s">
        <v>15</v>
      </c>
    </row>
    <row r="3" spans="2:21" ht="16.5" thickBot="1" x14ac:dyDescent="0.45">
      <c r="B3" s="12" t="s">
        <v>41</v>
      </c>
      <c r="C3" s="13"/>
      <c r="D3" s="38"/>
      <c r="E3" s="14">
        <f t="shared" ref="E3:E30" si="0">SUM(D3:D3)</f>
        <v>0</v>
      </c>
      <c r="J3" s="1" t="s">
        <v>42</v>
      </c>
      <c r="K3" s="1" t="s">
        <v>43</v>
      </c>
      <c r="L3" s="6" t="s">
        <v>16</v>
      </c>
      <c r="M3" s="1" t="s">
        <v>109</v>
      </c>
      <c r="O3" s="189" t="s">
        <v>44</v>
      </c>
      <c r="P3" s="190"/>
      <c r="Q3" s="190"/>
      <c r="R3" s="190"/>
      <c r="S3" s="190"/>
      <c r="T3" s="190"/>
      <c r="U3" s="191"/>
    </row>
    <row r="4" spans="2:21" ht="16.5" thickBot="1" x14ac:dyDescent="0.45">
      <c r="B4" s="15" t="s">
        <v>45</v>
      </c>
      <c r="C4" s="16" t="s">
        <v>65</v>
      </c>
      <c r="D4" s="71"/>
      <c r="E4" s="18">
        <f t="shared" si="0"/>
        <v>0</v>
      </c>
      <c r="G4" s="1">
        <v>30</v>
      </c>
      <c r="H4" s="1" t="s">
        <v>47</v>
      </c>
      <c r="I4" s="1">
        <v>180</v>
      </c>
      <c r="J4" s="1">
        <f>$P$11*I4*G4*$N$4</f>
        <v>432</v>
      </c>
      <c r="K4" s="1">
        <f>$P$11*G4*I4*$N$5</f>
        <v>648</v>
      </c>
      <c r="L4" s="6" t="s">
        <v>17</v>
      </c>
      <c r="M4" s="1" t="s">
        <v>110</v>
      </c>
      <c r="N4" s="82">
        <v>0.4</v>
      </c>
      <c r="O4" s="19" t="s">
        <v>48</v>
      </c>
      <c r="P4" s="20"/>
      <c r="Q4" s="21" t="s">
        <v>49</v>
      </c>
      <c r="R4" s="20"/>
      <c r="S4" s="20"/>
      <c r="T4" s="20"/>
      <c r="U4" s="22"/>
    </row>
    <row r="5" spans="2:21" ht="16.5" thickBot="1" x14ac:dyDescent="0.45">
      <c r="B5" s="12" t="s">
        <v>50</v>
      </c>
      <c r="C5" s="23"/>
      <c r="D5" s="38"/>
      <c r="E5" s="24">
        <f t="shared" si="0"/>
        <v>0</v>
      </c>
      <c r="G5" s="1">
        <v>31</v>
      </c>
      <c r="H5" s="1" t="s">
        <v>13</v>
      </c>
      <c r="I5" s="1">
        <v>180</v>
      </c>
      <c r="J5" s="1">
        <f t="shared" ref="J5:J15" si="1">$P$11*I5*G5*$N$4</f>
        <v>446.40000000000003</v>
      </c>
      <c r="K5" s="1">
        <f t="shared" ref="K5:K15" si="2">$P$11*G5*I5*$N$5</f>
        <v>669.6</v>
      </c>
      <c r="L5" s="6" t="s">
        <v>14</v>
      </c>
      <c r="M5" s="1" t="s">
        <v>111</v>
      </c>
      <c r="N5" s="82">
        <v>0.6</v>
      </c>
      <c r="O5" s="25" t="s">
        <v>33</v>
      </c>
      <c r="P5" s="26"/>
      <c r="Q5" s="26"/>
      <c r="R5" s="26">
        <v>0.45</v>
      </c>
      <c r="S5" s="26"/>
      <c r="T5" s="26"/>
      <c r="U5" s="27" t="s">
        <v>51</v>
      </c>
    </row>
    <row r="6" spans="2:21" ht="16.5" thickBot="1" x14ac:dyDescent="0.45">
      <c r="B6" s="15" t="s">
        <v>52</v>
      </c>
      <c r="C6" s="28" t="s">
        <v>46</v>
      </c>
      <c r="D6" s="71"/>
      <c r="E6" s="18">
        <f t="shared" si="0"/>
        <v>0</v>
      </c>
      <c r="G6" s="1">
        <v>30</v>
      </c>
      <c r="H6" s="1" t="s">
        <v>53</v>
      </c>
      <c r="I6" s="1">
        <v>180</v>
      </c>
      <c r="J6" s="1">
        <f t="shared" si="1"/>
        <v>432</v>
      </c>
      <c r="K6" s="1">
        <f t="shared" si="2"/>
        <v>648</v>
      </c>
      <c r="L6" s="6" t="s">
        <v>18</v>
      </c>
      <c r="O6" s="25" t="s">
        <v>36</v>
      </c>
      <c r="P6" s="26"/>
      <c r="Q6" s="26"/>
      <c r="R6" s="26">
        <v>0.46</v>
      </c>
      <c r="S6" s="26"/>
      <c r="T6" s="26"/>
      <c r="U6" s="27" t="s">
        <v>51</v>
      </c>
    </row>
    <row r="7" spans="2:21" ht="16.5" thickBot="1" x14ac:dyDescent="0.45">
      <c r="B7" s="12" t="s">
        <v>54</v>
      </c>
      <c r="C7" s="23"/>
      <c r="D7" s="38"/>
      <c r="E7" s="24">
        <f t="shared" si="0"/>
        <v>0</v>
      </c>
      <c r="G7" s="1">
        <v>31</v>
      </c>
      <c r="H7" s="1" t="s">
        <v>55</v>
      </c>
      <c r="I7" s="1">
        <v>180</v>
      </c>
      <c r="J7" s="1">
        <f t="shared" si="1"/>
        <v>446.40000000000003</v>
      </c>
      <c r="K7" s="1">
        <f t="shared" si="2"/>
        <v>669.6</v>
      </c>
      <c r="L7" s="6" t="s">
        <v>19</v>
      </c>
      <c r="O7" s="25" t="s">
        <v>32</v>
      </c>
      <c r="P7" s="26"/>
      <c r="Q7" s="26"/>
      <c r="R7" s="26">
        <v>0.62</v>
      </c>
      <c r="S7" s="26"/>
      <c r="T7" s="26"/>
      <c r="U7" s="27" t="s">
        <v>51</v>
      </c>
    </row>
    <row r="8" spans="2:21" x14ac:dyDescent="0.4">
      <c r="B8" s="29" t="s">
        <v>56</v>
      </c>
      <c r="C8" s="28" t="s">
        <v>46</v>
      </c>
      <c r="D8" s="72"/>
      <c r="E8" s="31">
        <f t="shared" si="0"/>
        <v>0</v>
      </c>
      <c r="G8" s="1">
        <v>31</v>
      </c>
      <c r="H8" s="1" t="s">
        <v>57</v>
      </c>
      <c r="I8" s="1">
        <v>180</v>
      </c>
      <c r="J8" s="1">
        <f t="shared" si="1"/>
        <v>446.40000000000003</v>
      </c>
      <c r="K8" s="1">
        <f t="shared" si="2"/>
        <v>669.6</v>
      </c>
      <c r="L8" s="6" t="s">
        <v>20</v>
      </c>
      <c r="O8" s="25" t="s">
        <v>35</v>
      </c>
      <c r="P8" s="26"/>
      <c r="Q8" s="26"/>
      <c r="R8" s="26">
        <v>0.39</v>
      </c>
      <c r="S8" s="26"/>
      <c r="T8" s="26"/>
      <c r="U8" s="27" t="s">
        <v>51</v>
      </c>
    </row>
    <row r="9" spans="2:21" ht="16.5" thickBot="1" x14ac:dyDescent="0.45">
      <c r="B9" s="32" t="s">
        <v>58</v>
      </c>
      <c r="C9" s="28" t="s">
        <v>46</v>
      </c>
      <c r="D9" s="73"/>
      <c r="E9" s="34">
        <f t="shared" si="0"/>
        <v>0</v>
      </c>
      <c r="G9" s="1">
        <v>30</v>
      </c>
      <c r="H9" s="1" t="s">
        <v>59</v>
      </c>
      <c r="I9" s="1">
        <v>180</v>
      </c>
      <c r="J9" s="1">
        <f t="shared" si="1"/>
        <v>432</v>
      </c>
      <c r="K9" s="1">
        <f t="shared" si="2"/>
        <v>648</v>
      </c>
      <c r="L9" s="6" t="s">
        <v>21</v>
      </c>
      <c r="O9" s="35" t="s">
        <v>34</v>
      </c>
      <c r="P9" s="36"/>
      <c r="Q9" s="36"/>
      <c r="R9" s="36">
        <v>0.56999999999999995</v>
      </c>
      <c r="S9" s="36"/>
      <c r="T9" s="36"/>
      <c r="U9" s="37" t="s">
        <v>51</v>
      </c>
    </row>
    <row r="10" spans="2:21" ht="16.5" thickBot="1" x14ac:dyDescent="0.45">
      <c r="B10" s="12" t="s">
        <v>60</v>
      </c>
      <c r="C10" s="23"/>
      <c r="D10" s="38"/>
      <c r="E10" s="24">
        <f t="shared" si="0"/>
        <v>0</v>
      </c>
      <c r="G10" s="1">
        <v>31</v>
      </c>
      <c r="H10" s="1" t="s">
        <v>61</v>
      </c>
      <c r="I10" s="1">
        <v>180</v>
      </c>
      <c r="J10" s="1">
        <f t="shared" si="1"/>
        <v>446.40000000000003</v>
      </c>
      <c r="K10" s="1">
        <f t="shared" si="2"/>
        <v>669.6</v>
      </c>
      <c r="L10" s="6" t="s">
        <v>22</v>
      </c>
    </row>
    <row r="11" spans="2:21" x14ac:dyDescent="0.4">
      <c r="B11" s="29" t="s">
        <v>62</v>
      </c>
      <c r="C11" s="28" t="s">
        <v>46</v>
      </c>
      <c r="D11" s="72"/>
      <c r="E11" s="31">
        <f t="shared" si="0"/>
        <v>0</v>
      </c>
      <c r="G11" s="1">
        <v>30</v>
      </c>
      <c r="H11" s="1" t="s">
        <v>63</v>
      </c>
      <c r="I11" s="1">
        <v>180</v>
      </c>
      <c r="J11" s="1">
        <f t="shared" si="1"/>
        <v>432</v>
      </c>
      <c r="K11" s="1">
        <f t="shared" si="2"/>
        <v>648</v>
      </c>
      <c r="O11" s="86" t="s">
        <v>112</v>
      </c>
      <c r="P11" s="87">
        <v>0.2</v>
      </c>
      <c r="Q11" s="86" t="s">
        <v>113</v>
      </c>
    </row>
    <row r="12" spans="2:21" x14ac:dyDescent="0.4">
      <c r="B12" s="39" t="s">
        <v>64</v>
      </c>
      <c r="C12" s="40" t="s">
        <v>65</v>
      </c>
      <c r="D12" s="41">
        <v>14782.5</v>
      </c>
      <c r="E12" s="41">
        <f t="shared" si="0"/>
        <v>14782.5</v>
      </c>
      <c r="G12" s="1">
        <v>31</v>
      </c>
      <c r="H12" s="1" t="s">
        <v>66</v>
      </c>
      <c r="I12" s="1">
        <v>180</v>
      </c>
      <c r="J12" s="1">
        <f t="shared" si="1"/>
        <v>446.40000000000003</v>
      </c>
      <c r="K12" s="1">
        <f t="shared" si="2"/>
        <v>669.6</v>
      </c>
    </row>
    <row r="13" spans="2:21" x14ac:dyDescent="0.4">
      <c r="B13" s="39" t="s">
        <v>67</v>
      </c>
      <c r="C13" s="40" t="s">
        <v>65</v>
      </c>
      <c r="D13" s="74"/>
      <c r="E13" s="41">
        <f t="shared" si="0"/>
        <v>0</v>
      </c>
      <c r="G13" s="1">
        <v>31</v>
      </c>
      <c r="H13" s="1" t="s">
        <v>68</v>
      </c>
      <c r="I13" s="1">
        <v>180</v>
      </c>
      <c r="J13" s="1">
        <f t="shared" si="1"/>
        <v>446.40000000000003</v>
      </c>
      <c r="K13" s="1">
        <f t="shared" si="2"/>
        <v>669.6</v>
      </c>
    </row>
    <row r="14" spans="2:21" x14ac:dyDescent="0.4">
      <c r="B14" s="39" t="s">
        <v>69</v>
      </c>
      <c r="C14" s="28" t="s">
        <v>46</v>
      </c>
      <c r="D14" s="74"/>
      <c r="E14" s="41">
        <f t="shared" si="0"/>
        <v>0</v>
      </c>
      <c r="G14" s="1">
        <v>28</v>
      </c>
      <c r="H14" s="1" t="s">
        <v>70</v>
      </c>
      <c r="I14" s="1">
        <v>180</v>
      </c>
      <c r="J14" s="1">
        <f t="shared" si="1"/>
        <v>403.20000000000005</v>
      </c>
      <c r="K14" s="1">
        <f t="shared" si="2"/>
        <v>604.80000000000007</v>
      </c>
    </row>
    <row r="15" spans="2:21" x14ac:dyDescent="0.4">
      <c r="B15" s="39" t="s">
        <v>71</v>
      </c>
      <c r="C15" s="28" t="s">
        <v>46</v>
      </c>
      <c r="D15" s="79"/>
      <c r="E15" s="41">
        <f t="shared" si="0"/>
        <v>0</v>
      </c>
      <c r="G15" s="1">
        <v>31</v>
      </c>
      <c r="H15" s="1" t="s">
        <v>72</v>
      </c>
      <c r="I15" s="1">
        <v>180</v>
      </c>
      <c r="J15" s="1">
        <f t="shared" si="1"/>
        <v>446.40000000000003</v>
      </c>
      <c r="K15" s="1">
        <f t="shared" si="2"/>
        <v>669.6</v>
      </c>
    </row>
    <row r="16" spans="2:21" x14ac:dyDescent="0.4">
      <c r="B16" s="39" t="s">
        <v>73</v>
      </c>
      <c r="C16" s="28" t="s">
        <v>46</v>
      </c>
      <c r="D16" s="74"/>
      <c r="E16" s="41">
        <f t="shared" si="0"/>
        <v>0</v>
      </c>
      <c r="J16" s="1">
        <f>SUM(J4:J15)</f>
        <v>5256</v>
      </c>
      <c r="K16" s="1">
        <f>SUM(K4:K15)</f>
        <v>7884.0000000000009</v>
      </c>
    </row>
    <row r="17" spans="2:15" x14ac:dyDescent="0.4">
      <c r="B17" s="39" t="s">
        <v>74</v>
      </c>
      <c r="C17" s="40" t="s">
        <v>65</v>
      </c>
      <c r="D17" s="74"/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74"/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/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/>
      <c r="E20" s="41">
        <f t="shared" si="0"/>
        <v>0</v>
      </c>
    </row>
    <row r="21" spans="2:15" x14ac:dyDescent="0.4">
      <c r="B21" s="39" t="s">
        <v>78</v>
      </c>
      <c r="C21" s="28" t="s">
        <v>65</v>
      </c>
      <c r="D21" s="41"/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/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v>14782.5</v>
      </c>
      <c r="E23" s="41">
        <f t="shared" si="0"/>
        <v>14782.5</v>
      </c>
    </row>
    <row r="24" spans="2:15" x14ac:dyDescent="0.4">
      <c r="B24" s="39" t="s">
        <v>81</v>
      </c>
      <c r="C24" s="28" t="s">
        <v>46</v>
      </c>
      <c r="D24" s="74"/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/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/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41"/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/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/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/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Landfill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5" si="3">VLOOKUP($B34,$B$4:$C$30,2,0)</f>
        <v>Recycled/Reused</v>
      </c>
      <c r="D34" s="40">
        <f t="shared" ref="D34:D54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/>
      <c r="D35" s="40">
        <f t="shared" si="4"/>
        <v>0</v>
      </c>
      <c r="E35" s="49" t="s">
        <v>93</v>
      </c>
      <c r="G35" s="50" t="s">
        <v>46</v>
      </c>
      <c r="H35" s="51">
        <f>SUMIFS($D$33:$D$55,$C$33:$C$55,$G35)</f>
        <v>0</v>
      </c>
    </row>
    <row r="36" spans="2:15" ht="16.5" thickBot="1" x14ac:dyDescent="0.45">
      <c r="B36" s="48" t="s">
        <v>58</v>
      </c>
      <c r="C36" s="39"/>
      <c r="D36" s="40">
        <f t="shared" si="4"/>
        <v>0</v>
      </c>
      <c r="E36" s="49" t="s">
        <v>93</v>
      </c>
      <c r="G36" s="52" t="s">
        <v>65</v>
      </c>
      <c r="H36" s="53">
        <f>SUMIFS($D$33:$D$55,$C$33:$C$55,$G36)</f>
        <v>29565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D56-SUM(D35:D36)</f>
        <v>29565</v>
      </c>
    </row>
    <row r="38" spans="2:15" ht="32.5" thickBot="1" x14ac:dyDescent="0.45">
      <c r="B38" s="48" t="s">
        <v>64</v>
      </c>
      <c r="C38" s="39" t="str">
        <f t="shared" si="3"/>
        <v>Landfill</v>
      </c>
      <c r="D38" s="40">
        <f t="shared" si="4"/>
        <v>14782.5</v>
      </c>
      <c r="E38" s="49" t="s">
        <v>92</v>
      </c>
      <c r="G38" s="56" t="s">
        <v>94</v>
      </c>
      <c r="H38" s="75">
        <f>IF(ISERROR(H35/H37), "ZERO Waste Generated", (H35/H37))</f>
        <v>0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 t="shared" si="4"/>
        <v>0</v>
      </c>
      <c r="E42" s="49" t="s">
        <v>92</v>
      </c>
      <c r="G42" s="58" t="s">
        <v>95</v>
      </c>
      <c r="H42" s="51">
        <f>D38*0.3</f>
        <v>4434.75</v>
      </c>
    </row>
    <row r="43" spans="2:15" x14ac:dyDescent="0.4">
      <c r="B43" s="48" t="s">
        <v>74</v>
      </c>
      <c r="C43" s="39" t="str">
        <f t="shared" si="3"/>
        <v>Landfill</v>
      </c>
      <c r="D43" s="40">
        <f t="shared" si="4"/>
        <v>0</v>
      </c>
      <c r="E43" s="49" t="s">
        <v>92</v>
      </c>
      <c r="G43" s="59" t="s">
        <v>96</v>
      </c>
      <c r="H43" s="60">
        <f>SUM(D41,D47,D53)</f>
        <v>0</v>
      </c>
    </row>
    <row r="44" spans="2:15" ht="16.5" thickBot="1" x14ac:dyDescent="0.45">
      <c r="B44" s="48" t="s">
        <v>75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D54</f>
        <v>0</v>
      </c>
    </row>
    <row r="45" spans="2:15" x14ac:dyDescent="0.4">
      <c r="B45" s="48" t="s">
        <v>76</v>
      </c>
      <c r="C45" s="39" t="str">
        <f t="shared" si="3"/>
        <v>Recycled/Reused</v>
      </c>
      <c r="D45" s="40">
        <f t="shared" si="4"/>
        <v>0</v>
      </c>
      <c r="E45" s="49" t="s">
        <v>92</v>
      </c>
    </row>
    <row r="46" spans="2:15" x14ac:dyDescent="0.4">
      <c r="B46" s="48" t="s">
        <v>77</v>
      </c>
      <c r="C46" s="39" t="str">
        <f t="shared" si="3"/>
        <v>Landfill</v>
      </c>
      <c r="D46" s="40">
        <f t="shared" si="4"/>
        <v>0</v>
      </c>
      <c r="E46" s="49" t="s">
        <v>92</v>
      </c>
    </row>
    <row r="47" spans="2:15" x14ac:dyDescent="0.4">
      <c r="B47" s="48" t="s">
        <v>78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79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80</v>
      </c>
      <c r="C49" s="39" t="str">
        <f t="shared" si="3"/>
        <v>Landfill</v>
      </c>
      <c r="D49" s="40">
        <f t="shared" si="4"/>
        <v>14782.5</v>
      </c>
      <c r="E49" s="49" t="s">
        <v>92</v>
      </c>
    </row>
    <row r="50" spans="2:5" x14ac:dyDescent="0.4">
      <c r="B50" s="48" t="s">
        <v>81</v>
      </c>
      <c r="C50" s="39" t="str">
        <f t="shared" si="3"/>
        <v>Recycled/Reused</v>
      </c>
      <c r="D50" s="40">
        <f t="shared" si="4"/>
        <v>0</v>
      </c>
      <c r="E50" s="49" t="s">
        <v>92</v>
      </c>
    </row>
    <row r="51" spans="2:5" x14ac:dyDescent="0.4">
      <c r="B51" s="48" t="s">
        <v>82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83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84</v>
      </c>
      <c r="C53" s="39" t="str">
        <f t="shared" si="3"/>
        <v>Recycled/Reused</v>
      </c>
      <c r="D53" s="40">
        <f t="shared" si="4"/>
        <v>0</v>
      </c>
      <c r="E53" s="49" t="s">
        <v>92</v>
      </c>
    </row>
    <row r="54" spans="2:5" x14ac:dyDescent="0.4">
      <c r="B54" s="48" t="s">
        <v>85</v>
      </c>
      <c r="C54" s="39" t="str">
        <f t="shared" si="3"/>
        <v>Recycled/Reused</v>
      </c>
      <c r="D54" s="40">
        <f t="shared" si="4"/>
        <v>0</v>
      </c>
      <c r="E54" s="49" t="s">
        <v>92</v>
      </c>
    </row>
    <row r="55" spans="2:5" ht="18.5" thickBot="1" x14ac:dyDescent="0.45">
      <c r="B55" s="64" t="s">
        <v>87</v>
      </c>
      <c r="C55" s="65" t="str">
        <f t="shared" si="3"/>
        <v>Recycled/Reused</v>
      </c>
      <c r="D55" s="66">
        <f>SUMIF($B$3:$B$30,$B55,$E$3:$E$30)*1620</f>
        <v>0</v>
      </c>
      <c r="E55" s="67" t="s">
        <v>92</v>
      </c>
    </row>
    <row r="56" spans="2:5" ht="16.5" thickBot="1" x14ac:dyDescent="0.45">
      <c r="B56" s="192" t="s">
        <v>31</v>
      </c>
      <c r="C56" s="193"/>
      <c r="D56" s="194">
        <f>SUM(D33:D55)</f>
        <v>29565</v>
      </c>
      <c r="E56" s="195"/>
    </row>
  </sheetData>
  <mergeCells count="4">
    <mergeCell ref="C1:C2"/>
    <mergeCell ref="O3:U3"/>
    <mergeCell ref="B56:C56"/>
    <mergeCell ref="D56:E56"/>
  </mergeCells>
  <dataValidations count="1">
    <dataValidation type="list" allowBlank="1" showInputMessage="1" showErrorMessage="1" sqref="B2" xr:uid="{8B33329C-A01D-4D11-988C-5DFD1C218ACD}">
      <formula1>$L$2:$L$10</formula1>
    </dataValidation>
  </dataValidations>
  <hyperlinks>
    <hyperlink ref="Q4" r:id="rId1" xr:uid="{C3504B57-1BE8-439A-8DF6-4631A1C6A1A3}"/>
  </hyperlinks>
  <pageMargins left="0.7" right="0.7" top="0.75" bottom="0.75" header="0.3" footer="0.3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2DC8F-57C7-4C79-ADAF-5658E7A79B52}">
  <sheetPr>
    <tabColor rgb="FF92D050"/>
  </sheetPr>
  <dimension ref="B1:S58"/>
  <sheetViews>
    <sheetView topLeftCell="A42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19" ht="20.25" customHeight="1" thickBot="1" x14ac:dyDescent="0.45">
      <c r="B1" s="7" t="s">
        <v>37</v>
      </c>
      <c r="C1" s="187" t="s">
        <v>38</v>
      </c>
      <c r="D1" s="76" t="s">
        <v>39</v>
      </c>
      <c r="E1" s="69"/>
    </row>
    <row r="2" spans="2:19" ht="29.5" thickBot="1" x14ac:dyDescent="0.45">
      <c r="B2" s="9" t="s">
        <v>17</v>
      </c>
      <c r="C2" s="188"/>
      <c r="D2" s="70" t="s">
        <v>114</v>
      </c>
      <c r="E2" s="11" t="s">
        <v>40</v>
      </c>
      <c r="L2" s="6" t="s">
        <v>15</v>
      </c>
    </row>
    <row r="3" spans="2:19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L3" s="6" t="s">
        <v>16</v>
      </c>
      <c r="M3" s="189" t="s">
        <v>44</v>
      </c>
      <c r="N3" s="190"/>
      <c r="O3" s="190"/>
      <c r="P3" s="190"/>
      <c r="Q3" s="190"/>
      <c r="R3" s="190"/>
      <c r="S3" s="191"/>
    </row>
    <row r="4" spans="2:19" ht="16.5" thickBot="1" x14ac:dyDescent="0.45">
      <c r="B4" s="15" t="s">
        <v>45</v>
      </c>
      <c r="C4" s="16" t="s">
        <v>65</v>
      </c>
      <c r="D4" s="71">
        <v>0</v>
      </c>
      <c r="E4" s="18">
        <f t="shared" si="0"/>
        <v>0</v>
      </c>
      <c r="I4" s="1" t="s">
        <v>42</v>
      </c>
      <c r="J4" s="1" t="s">
        <v>43</v>
      </c>
      <c r="K4" s="1" t="s">
        <v>109</v>
      </c>
      <c r="M4" s="19" t="s">
        <v>48</v>
      </c>
      <c r="N4" s="20"/>
      <c r="O4" s="21" t="s">
        <v>49</v>
      </c>
      <c r="P4" s="20"/>
      <c r="Q4" s="20"/>
      <c r="R4" s="20"/>
      <c r="S4" s="22"/>
    </row>
    <row r="5" spans="2:19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30</v>
      </c>
      <c r="G5" s="1" t="s">
        <v>47</v>
      </c>
      <c r="H5" s="88">
        <v>30</v>
      </c>
      <c r="I5" s="1">
        <f>$N$11*H5*F5*$L$5</f>
        <v>72</v>
      </c>
      <c r="J5" s="1">
        <f>$N$11*F5*H5*$L$6</f>
        <v>108</v>
      </c>
      <c r="K5" s="1" t="s">
        <v>110</v>
      </c>
      <c r="L5" s="82">
        <v>0.4</v>
      </c>
      <c r="M5" s="25" t="s">
        <v>33</v>
      </c>
      <c r="N5" s="26"/>
      <c r="O5" s="26"/>
      <c r="P5" s="26">
        <v>0.45</v>
      </c>
      <c r="Q5" s="26"/>
      <c r="R5" s="26"/>
      <c r="S5" s="27" t="s">
        <v>51</v>
      </c>
    </row>
    <row r="6" spans="2:19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31</v>
      </c>
      <c r="G6" s="1" t="s">
        <v>13</v>
      </c>
      <c r="H6" s="88">
        <v>30</v>
      </c>
      <c r="I6" s="1">
        <f t="shared" ref="I6:I16" si="1">$N$11*H6*F6*$L$5</f>
        <v>74.400000000000006</v>
      </c>
      <c r="J6" s="1">
        <f t="shared" ref="J6:J16" si="2">$N$11*F6*H6*$L$6</f>
        <v>111.6</v>
      </c>
      <c r="K6" s="1" t="s">
        <v>111</v>
      </c>
      <c r="L6" s="82">
        <v>0.6</v>
      </c>
      <c r="M6" s="25" t="s">
        <v>36</v>
      </c>
      <c r="N6" s="26"/>
      <c r="O6" s="26"/>
      <c r="P6" s="26">
        <v>0.46</v>
      </c>
      <c r="Q6" s="26"/>
      <c r="R6" s="26"/>
      <c r="S6" s="27" t="s">
        <v>51</v>
      </c>
    </row>
    <row r="7" spans="2:19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30</v>
      </c>
      <c r="G7" s="1" t="s">
        <v>53</v>
      </c>
      <c r="H7" s="88">
        <v>30</v>
      </c>
      <c r="I7" s="1">
        <f t="shared" si="1"/>
        <v>72</v>
      </c>
      <c r="J7" s="1">
        <f t="shared" si="2"/>
        <v>108</v>
      </c>
      <c r="L7" s="6" t="s">
        <v>19</v>
      </c>
      <c r="M7" s="25" t="s">
        <v>32</v>
      </c>
      <c r="N7" s="26"/>
      <c r="O7" s="26"/>
      <c r="P7" s="26">
        <v>0.62</v>
      </c>
      <c r="Q7" s="26"/>
      <c r="R7" s="26"/>
      <c r="S7" s="27" t="s">
        <v>51</v>
      </c>
    </row>
    <row r="8" spans="2:19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55</v>
      </c>
      <c r="H8" s="88">
        <v>30</v>
      </c>
      <c r="I8" s="1">
        <f t="shared" si="1"/>
        <v>74.400000000000006</v>
      </c>
      <c r="J8" s="1">
        <f t="shared" si="2"/>
        <v>111.6</v>
      </c>
      <c r="L8" s="6" t="s">
        <v>20</v>
      </c>
      <c r="M8" s="25" t="s">
        <v>35</v>
      </c>
      <c r="N8" s="26"/>
      <c r="O8" s="26"/>
      <c r="P8" s="26">
        <v>0.39</v>
      </c>
      <c r="Q8" s="26"/>
      <c r="R8" s="26"/>
      <c r="S8" s="27" t="s">
        <v>51</v>
      </c>
    </row>
    <row r="9" spans="2:19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31</v>
      </c>
      <c r="G9" s="1" t="s">
        <v>57</v>
      </c>
      <c r="H9" s="88">
        <v>30</v>
      </c>
      <c r="I9" s="1">
        <f t="shared" si="1"/>
        <v>74.400000000000006</v>
      </c>
      <c r="J9" s="1">
        <f t="shared" si="2"/>
        <v>111.6</v>
      </c>
      <c r="L9" s="6" t="s">
        <v>21</v>
      </c>
      <c r="M9" s="35" t="s">
        <v>34</v>
      </c>
      <c r="N9" s="36"/>
      <c r="O9" s="36"/>
      <c r="P9" s="36">
        <v>0.56999999999999995</v>
      </c>
      <c r="Q9" s="36"/>
      <c r="R9" s="36"/>
      <c r="S9" s="37" t="s">
        <v>51</v>
      </c>
    </row>
    <row r="10" spans="2:19" ht="16.5" thickBot="1" x14ac:dyDescent="0.45">
      <c r="B10" s="12" t="s">
        <v>60</v>
      </c>
      <c r="C10" s="23"/>
      <c r="D10" s="38">
        <f>SUM(D11:D28)</f>
        <v>2190</v>
      </c>
      <c r="E10" s="24">
        <f t="shared" si="0"/>
        <v>2190</v>
      </c>
      <c r="F10" s="1">
        <v>30</v>
      </c>
      <c r="G10" s="1" t="s">
        <v>59</v>
      </c>
      <c r="H10" s="88">
        <v>30</v>
      </c>
      <c r="I10" s="1">
        <f t="shared" si="1"/>
        <v>72</v>
      </c>
      <c r="J10" s="1">
        <f t="shared" si="2"/>
        <v>108</v>
      </c>
      <c r="L10" s="6" t="s">
        <v>22</v>
      </c>
    </row>
    <row r="11" spans="2:19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31</v>
      </c>
      <c r="G11" s="1" t="s">
        <v>61</v>
      </c>
      <c r="H11" s="88">
        <v>30</v>
      </c>
      <c r="I11" s="1">
        <f t="shared" si="1"/>
        <v>74.400000000000006</v>
      </c>
      <c r="J11" s="1">
        <f t="shared" si="2"/>
        <v>111.6</v>
      </c>
      <c r="M11" s="86" t="s">
        <v>112</v>
      </c>
      <c r="N11" s="87">
        <v>0.2</v>
      </c>
      <c r="O11" s="86" t="s">
        <v>113</v>
      </c>
    </row>
    <row r="12" spans="2:19" x14ac:dyDescent="0.4">
      <c r="B12" s="39" t="s">
        <v>64</v>
      </c>
      <c r="C12" s="40" t="s">
        <v>65</v>
      </c>
      <c r="D12" s="41">
        <f>I17</f>
        <v>876</v>
      </c>
      <c r="E12" s="41">
        <f t="shared" si="0"/>
        <v>876</v>
      </c>
      <c r="F12" s="1">
        <v>30</v>
      </c>
      <c r="G12" s="1" t="s">
        <v>63</v>
      </c>
      <c r="H12" s="88">
        <v>30</v>
      </c>
      <c r="I12" s="1">
        <f t="shared" si="1"/>
        <v>72</v>
      </c>
      <c r="J12" s="1">
        <f t="shared" si="2"/>
        <v>108</v>
      </c>
    </row>
    <row r="13" spans="2:19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66</v>
      </c>
      <c r="H13" s="88">
        <v>30</v>
      </c>
      <c r="I13" s="1">
        <f t="shared" si="1"/>
        <v>74.400000000000006</v>
      </c>
      <c r="J13" s="1">
        <f t="shared" si="2"/>
        <v>111.6</v>
      </c>
    </row>
    <row r="14" spans="2:19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31</v>
      </c>
      <c r="G14" s="1" t="s">
        <v>68</v>
      </c>
      <c r="H14" s="88">
        <v>30</v>
      </c>
      <c r="I14" s="1">
        <f t="shared" si="1"/>
        <v>74.400000000000006</v>
      </c>
      <c r="J14" s="1">
        <f t="shared" si="2"/>
        <v>111.6</v>
      </c>
    </row>
    <row r="15" spans="2:19" x14ac:dyDescent="0.4">
      <c r="B15" s="39" t="s">
        <v>71</v>
      </c>
      <c r="C15" s="28" t="s">
        <v>46</v>
      </c>
      <c r="D15" s="79">
        <v>0</v>
      </c>
      <c r="E15" s="41">
        <f t="shared" si="0"/>
        <v>0</v>
      </c>
      <c r="F15" s="1">
        <v>28</v>
      </c>
      <c r="G15" s="1" t="s">
        <v>70</v>
      </c>
      <c r="H15" s="88">
        <v>30</v>
      </c>
      <c r="I15" s="1">
        <f t="shared" si="1"/>
        <v>67.2</v>
      </c>
      <c r="J15" s="1">
        <f t="shared" si="2"/>
        <v>100.80000000000001</v>
      </c>
    </row>
    <row r="16" spans="2:19" x14ac:dyDescent="0.4">
      <c r="B16" s="39" t="s">
        <v>73</v>
      </c>
      <c r="C16" s="28" t="s">
        <v>46</v>
      </c>
      <c r="D16" s="74">
        <v>0</v>
      </c>
      <c r="E16" s="41">
        <f t="shared" si="0"/>
        <v>0</v>
      </c>
      <c r="F16" s="1">
        <v>31</v>
      </c>
      <c r="G16" s="1" t="s">
        <v>72</v>
      </c>
      <c r="H16" s="88">
        <v>30</v>
      </c>
      <c r="I16" s="1">
        <f t="shared" si="1"/>
        <v>74.400000000000006</v>
      </c>
      <c r="J16" s="1">
        <f t="shared" si="2"/>
        <v>111.6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  <c r="I17" s="1">
        <f>SUM(I5:I16)</f>
        <v>876</v>
      </c>
      <c r="J17" s="1">
        <f>SUM(J5:J16)</f>
        <v>1314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J17</f>
        <v>1314</v>
      </c>
      <c r="E23" s="41">
        <f t="shared" si="0"/>
        <v>1314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Landfill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7" si="3">VLOOKUP($B34,$B$4:$C$30,2,0)</f>
        <v>Recycled/Reused</v>
      </c>
      <c r="D34" s="40">
        <f t="shared" ref="D34:D56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/>
      <c r="D35" s="40">
        <f t="shared" si="4"/>
        <v>0</v>
      </c>
      <c r="E35" s="49" t="s">
        <v>93</v>
      </c>
      <c r="G35" s="50" t="s">
        <v>46</v>
      </c>
      <c r="H35" s="51">
        <f>SUMIFS($D$33:$D$57,$C$33:$C$57,$G35)</f>
        <v>0</v>
      </c>
    </row>
    <row r="36" spans="2:15" ht="16.5" thickBot="1" x14ac:dyDescent="0.45">
      <c r="B36" s="48" t="s">
        <v>58</v>
      </c>
      <c r="C36" s="39"/>
      <c r="D36" s="40">
        <f t="shared" si="4"/>
        <v>0</v>
      </c>
      <c r="E36" s="49" t="s">
        <v>93</v>
      </c>
      <c r="G36" s="52" t="s">
        <v>65</v>
      </c>
      <c r="H36" s="53">
        <f>SUMIFS($D$33:$D$57,$C$33:$C$57,$G36)</f>
        <v>2190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D58-SUM(D35:D36)</f>
        <v>2190</v>
      </c>
    </row>
    <row r="38" spans="2:15" ht="32.5" thickBot="1" x14ac:dyDescent="0.45">
      <c r="B38" s="48" t="s">
        <v>64</v>
      </c>
      <c r="C38" s="39" t="str">
        <f t="shared" si="3"/>
        <v>Landfill</v>
      </c>
      <c r="D38" s="40">
        <f t="shared" si="4"/>
        <v>876</v>
      </c>
      <c r="E38" s="49" t="s">
        <v>92</v>
      </c>
      <c r="G38" s="56" t="s">
        <v>94</v>
      </c>
      <c r="H38" s="75">
        <f>IF(ISERROR(H35/H37), "ZERO Waste Generated", (H35/H37))</f>
        <v>0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>SUMIF($B$3:$B$30,$B42,$E$3:$E$30)*0.5</f>
        <v>0</v>
      </c>
      <c r="E42" s="49" t="s">
        <v>92</v>
      </c>
      <c r="G42" s="58" t="s">
        <v>95</v>
      </c>
      <c r="H42" s="51">
        <f>D38*0.5</f>
        <v>438</v>
      </c>
    </row>
    <row r="43" spans="2:15" x14ac:dyDescent="0.4">
      <c r="B43" s="48" t="s">
        <v>73</v>
      </c>
      <c r="C43" s="39" t="s">
        <v>65</v>
      </c>
      <c r="D43" s="40">
        <f>SUMIF($B$3:$B$30,$B43,$E$3:$E$30)*0.5</f>
        <v>0</v>
      </c>
      <c r="E43" s="49" t="s">
        <v>92</v>
      </c>
      <c r="G43" s="59" t="s">
        <v>96</v>
      </c>
      <c r="H43" s="60">
        <f>SUM(D41,D48,D55)</f>
        <v>0</v>
      </c>
    </row>
    <row r="44" spans="2:15" ht="16.5" thickBot="1" x14ac:dyDescent="0.45">
      <c r="B44" s="48" t="s">
        <v>74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D56</f>
        <v>0</v>
      </c>
    </row>
    <row r="45" spans="2:15" x14ac:dyDescent="0.4">
      <c r="B45" s="48" t="s">
        <v>75</v>
      </c>
      <c r="C45" s="39" t="str">
        <f t="shared" si="3"/>
        <v>Landfill</v>
      </c>
      <c r="D45" s="40">
        <f t="shared" si="4"/>
        <v>0</v>
      </c>
      <c r="E45" s="49" t="s">
        <v>92</v>
      </c>
    </row>
    <row r="46" spans="2:15" x14ac:dyDescent="0.4">
      <c r="B46" s="48" t="s">
        <v>76</v>
      </c>
      <c r="C46" s="39" t="str">
        <f t="shared" si="3"/>
        <v>Recycled/Reused</v>
      </c>
      <c r="D46" s="40">
        <f t="shared" si="4"/>
        <v>0</v>
      </c>
      <c r="E46" s="49" t="s">
        <v>92</v>
      </c>
    </row>
    <row r="47" spans="2:15" x14ac:dyDescent="0.4">
      <c r="B47" s="48" t="s">
        <v>77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78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79</v>
      </c>
      <c r="C49" s="39" t="str">
        <f t="shared" si="3"/>
        <v>Recycled/Reused</v>
      </c>
      <c r="D49" s="40">
        <f t="shared" si="4"/>
        <v>0</v>
      </c>
      <c r="E49" s="49" t="s">
        <v>92</v>
      </c>
    </row>
    <row r="50" spans="2:5" x14ac:dyDescent="0.4">
      <c r="B50" s="48" t="s">
        <v>80</v>
      </c>
      <c r="C50" s="39" t="str">
        <f t="shared" si="3"/>
        <v>Landfill</v>
      </c>
      <c r="D50" s="40">
        <f t="shared" si="4"/>
        <v>1314</v>
      </c>
      <c r="E50" s="49" t="s">
        <v>92</v>
      </c>
    </row>
    <row r="51" spans="2:5" x14ac:dyDescent="0.4">
      <c r="B51" s="48" t="s">
        <v>81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82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83</v>
      </c>
      <c r="C53" s="39" t="s">
        <v>65</v>
      </c>
      <c r="D53" s="40">
        <f>SUMIF($B$3:$B$30,$B53,$E$3:$E$30)*0.3</f>
        <v>0</v>
      </c>
      <c r="E53" s="49" t="s">
        <v>92</v>
      </c>
    </row>
    <row r="54" spans="2:5" x14ac:dyDescent="0.4">
      <c r="B54" s="48" t="s">
        <v>83</v>
      </c>
      <c r="C54" s="39" t="str">
        <f t="shared" si="3"/>
        <v>Recycled/Reused</v>
      </c>
      <c r="D54" s="40">
        <f>SUMIF($B$3:$B$30,$B54,$E$3:$E$30)*0.7</f>
        <v>0</v>
      </c>
      <c r="E54" s="49" t="s">
        <v>92</v>
      </c>
    </row>
    <row r="55" spans="2:5" x14ac:dyDescent="0.4">
      <c r="B55" s="48" t="s">
        <v>84</v>
      </c>
      <c r="C55" s="39" t="str">
        <f t="shared" si="3"/>
        <v>Recycled/Reused</v>
      </c>
      <c r="D55" s="40">
        <f t="shared" si="4"/>
        <v>0</v>
      </c>
      <c r="E55" s="49" t="s">
        <v>92</v>
      </c>
    </row>
    <row r="56" spans="2:5" x14ac:dyDescent="0.4">
      <c r="B56" s="48" t="s">
        <v>85</v>
      </c>
      <c r="C56" s="39" t="str">
        <f t="shared" si="3"/>
        <v>Recycled/Reused</v>
      </c>
      <c r="D56" s="40">
        <f t="shared" si="4"/>
        <v>0</v>
      </c>
      <c r="E56" s="49" t="s">
        <v>92</v>
      </c>
    </row>
    <row r="57" spans="2:5" ht="18.5" thickBot="1" x14ac:dyDescent="0.45">
      <c r="B57" s="64" t="s">
        <v>87</v>
      </c>
      <c r="C57" s="65" t="str">
        <f t="shared" si="3"/>
        <v>Recycled/Reused</v>
      </c>
      <c r="D57" s="66">
        <f>SUMIF($B$3:$B$30,$B57,$E$3:$E$30)*1620</f>
        <v>0</v>
      </c>
      <c r="E57" s="67" t="s">
        <v>92</v>
      </c>
    </row>
    <row r="58" spans="2:5" ht="16.5" thickBot="1" x14ac:dyDescent="0.45">
      <c r="B58" s="192" t="s">
        <v>31</v>
      </c>
      <c r="C58" s="193"/>
      <c r="D58" s="194">
        <f>SUM(D33:D57)</f>
        <v>2190</v>
      </c>
      <c r="E58" s="195"/>
    </row>
  </sheetData>
  <mergeCells count="4">
    <mergeCell ref="C1:C2"/>
    <mergeCell ref="M3:S3"/>
    <mergeCell ref="B58:C58"/>
    <mergeCell ref="D58:E58"/>
  </mergeCells>
  <dataValidations count="1">
    <dataValidation type="list" allowBlank="1" showInputMessage="1" showErrorMessage="1" sqref="B2" xr:uid="{1768E71E-C674-43E2-B3DF-88019A02CDAD}">
      <formula1>$L$2:$L$10</formula1>
    </dataValidation>
  </dataValidations>
  <hyperlinks>
    <hyperlink ref="O4" r:id="rId1" xr:uid="{4796B362-32AF-4CE0-8C1D-AFEF2AB0956D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FD31E-F00B-4605-9507-E1AFB6BB17AA}">
  <sheetPr>
    <tabColor rgb="FF92D050"/>
  </sheetPr>
  <dimension ref="B1:O56"/>
  <sheetViews>
    <sheetView topLeftCell="A37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12" ht="20.25" customHeight="1" thickBot="1" x14ac:dyDescent="0.45">
      <c r="B1" s="7" t="s">
        <v>37</v>
      </c>
      <c r="C1" s="187" t="s">
        <v>38</v>
      </c>
      <c r="D1" s="68" t="s">
        <v>39</v>
      </c>
      <c r="E1" s="69"/>
    </row>
    <row r="2" spans="2:12" ht="29.5" thickBot="1" x14ac:dyDescent="0.45">
      <c r="B2" s="9" t="s">
        <v>14</v>
      </c>
      <c r="C2" s="188"/>
      <c r="D2" s="70" t="s">
        <v>98</v>
      </c>
      <c r="E2" s="11" t="s">
        <v>40</v>
      </c>
      <c r="L2" s="6" t="s">
        <v>15</v>
      </c>
    </row>
    <row r="3" spans="2:12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I3" s="1" t="s">
        <v>42</v>
      </c>
      <c r="J3" s="1" t="s">
        <v>43</v>
      </c>
      <c r="L3" s="6" t="s">
        <v>16</v>
      </c>
    </row>
    <row r="4" spans="2:12" ht="16.5" thickBot="1" x14ac:dyDescent="0.45">
      <c r="B4" s="15" t="s">
        <v>45</v>
      </c>
      <c r="C4" s="16" t="s">
        <v>65</v>
      </c>
      <c r="D4" s="71">
        <v>0</v>
      </c>
      <c r="E4" s="18">
        <f t="shared" si="0"/>
        <v>0</v>
      </c>
      <c r="F4" s="1">
        <v>30</v>
      </c>
      <c r="G4" s="1" t="s">
        <v>47</v>
      </c>
      <c r="H4" s="1">
        <v>74</v>
      </c>
      <c r="I4" s="1">
        <f>0.45*H4*F4/2</f>
        <v>499.50000000000006</v>
      </c>
      <c r="J4" s="1">
        <f>0.55*H4*F4/2</f>
        <v>610.5</v>
      </c>
      <c r="L4" s="6" t="s">
        <v>17</v>
      </c>
    </row>
    <row r="5" spans="2:12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31</v>
      </c>
      <c r="G5" s="1" t="s">
        <v>13</v>
      </c>
      <c r="H5" s="1">
        <v>74</v>
      </c>
      <c r="I5" s="1">
        <f t="shared" ref="I5:I15" si="1">0.45*H5*F5/2</f>
        <v>516.15000000000009</v>
      </c>
      <c r="J5" s="1">
        <f t="shared" ref="J5:J15" si="2">0.55*H5*F5/2</f>
        <v>630.85</v>
      </c>
      <c r="L5" s="6" t="s">
        <v>14</v>
      </c>
    </row>
    <row r="6" spans="2:12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30</v>
      </c>
      <c r="G6" s="1" t="s">
        <v>53</v>
      </c>
      <c r="H6" s="1">
        <v>74</v>
      </c>
      <c r="I6" s="1">
        <f t="shared" si="1"/>
        <v>499.50000000000006</v>
      </c>
      <c r="J6" s="1">
        <f t="shared" si="2"/>
        <v>610.5</v>
      </c>
      <c r="L6" s="6" t="s">
        <v>18</v>
      </c>
    </row>
    <row r="7" spans="2:12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31</v>
      </c>
      <c r="G7" s="1" t="s">
        <v>55</v>
      </c>
      <c r="H7" s="1">
        <v>74</v>
      </c>
      <c r="I7" s="1">
        <f t="shared" si="1"/>
        <v>516.15000000000009</v>
      </c>
      <c r="J7" s="1">
        <f t="shared" si="2"/>
        <v>630.85</v>
      </c>
      <c r="L7" s="6" t="s">
        <v>19</v>
      </c>
    </row>
    <row r="8" spans="2:12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57</v>
      </c>
      <c r="H8" s="1">
        <v>74</v>
      </c>
      <c r="I8" s="1">
        <f t="shared" si="1"/>
        <v>516.15000000000009</v>
      </c>
      <c r="J8" s="1">
        <f t="shared" si="2"/>
        <v>630.85</v>
      </c>
      <c r="L8" s="6" t="s">
        <v>20</v>
      </c>
    </row>
    <row r="9" spans="2:12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30</v>
      </c>
      <c r="G9" s="1" t="s">
        <v>59</v>
      </c>
      <c r="H9" s="1">
        <v>74</v>
      </c>
      <c r="I9" s="1">
        <f t="shared" si="1"/>
        <v>499.50000000000006</v>
      </c>
      <c r="J9" s="1">
        <f t="shared" si="2"/>
        <v>610.5</v>
      </c>
      <c r="L9" s="6" t="s">
        <v>21</v>
      </c>
    </row>
    <row r="10" spans="2:12" ht="16.5" thickBot="1" x14ac:dyDescent="0.45">
      <c r="B10" s="12" t="s">
        <v>60</v>
      </c>
      <c r="C10" s="23"/>
      <c r="D10" s="38">
        <v>97470</v>
      </c>
      <c r="E10" s="24">
        <f t="shared" si="0"/>
        <v>97470</v>
      </c>
      <c r="F10" s="1">
        <v>31</v>
      </c>
      <c r="G10" s="1" t="s">
        <v>61</v>
      </c>
      <c r="H10" s="1">
        <v>74</v>
      </c>
      <c r="I10" s="1">
        <f t="shared" si="1"/>
        <v>516.15000000000009</v>
      </c>
      <c r="J10" s="1">
        <f t="shared" si="2"/>
        <v>630.85</v>
      </c>
      <c r="L10" s="6" t="s">
        <v>22</v>
      </c>
    </row>
    <row r="11" spans="2:12" x14ac:dyDescent="0.4">
      <c r="B11" s="29" t="s">
        <v>62</v>
      </c>
      <c r="C11" s="28" t="s">
        <v>46</v>
      </c>
      <c r="D11" s="72">
        <v>40960</v>
      </c>
      <c r="E11" s="31">
        <f t="shared" si="0"/>
        <v>40960</v>
      </c>
      <c r="F11" s="1">
        <v>30</v>
      </c>
      <c r="G11" s="1" t="s">
        <v>63</v>
      </c>
      <c r="H11" s="1">
        <v>74</v>
      </c>
      <c r="I11" s="1">
        <f t="shared" si="1"/>
        <v>499.50000000000006</v>
      </c>
      <c r="J11" s="1">
        <f t="shared" si="2"/>
        <v>610.5</v>
      </c>
    </row>
    <row r="12" spans="2:12" x14ac:dyDescent="0.4">
      <c r="B12" s="39" t="s">
        <v>64</v>
      </c>
      <c r="C12" s="40" t="s">
        <v>65</v>
      </c>
      <c r="D12" s="74">
        <f>I16</f>
        <v>6077.25</v>
      </c>
      <c r="E12" s="41">
        <f t="shared" si="0"/>
        <v>6077.25</v>
      </c>
      <c r="F12" s="1">
        <v>31</v>
      </c>
      <c r="G12" s="1" t="s">
        <v>66</v>
      </c>
      <c r="H12" s="1">
        <v>74</v>
      </c>
      <c r="I12" s="1">
        <f t="shared" si="1"/>
        <v>516.15000000000009</v>
      </c>
      <c r="J12" s="1">
        <f t="shared" si="2"/>
        <v>630.85</v>
      </c>
    </row>
    <row r="13" spans="2:12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68</v>
      </c>
      <c r="H13" s="1">
        <v>74</v>
      </c>
      <c r="I13" s="1">
        <f t="shared" si="1"/>
        <v>516.15000000000009</v>
      </c>
      <c r="J13" s="1">
        <f t="shared" si="2"/>
        <v>630.85</v>
      </c>
    </row>
    <row r="14" spans="2:12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28</v>
      </c>
      <c r="G14" s="1" t="s">
        <v>70</v>
      </c>
      <c r="H14" s="1">
        <v>74</v>
      </c>
      <c r="I14" s="1">
        <f t="shared" si="1"/>
        <v>466.20000000000005</v>
      </c>
      <c r="J14" s="1">
        <f t="shared" si="2"/>
        <v>569.80000000000007</v>
      </c>
    </row>
    <row r="15" spans="2:12" x14ac:dyDescent="0.4">
      <c r="B15" s="39" t="s">
        <v>71</v>
      </c>
      <c r="C15" s="28" t="s">
        <v>46</v>
      </c>
      <c r="D15" s="74">
        <v>0</v>
      </c>
      <c r="E15" s="41">
        <f t="shared" si="0"/>
        <v>0</v>
      </c>
      <c r="F15" s="1">
        <v>31</v>
      </c>
      <c r="G15" s="1" t="s">
        <v>72</v>
      </c>
      <c r="H15" s="1">
        <v>74</v>
      </c>
      <c r="I15" s="1">
        <f t="shared" si="1"/>
        <v>516.15000000000009</v>
      </c>
      <c r="J15" s="1">
        <f t="shared" si="2"/>
        <v>630.85</v>
      </c>
    </row>
    <row r="16" spans="2:12" x14ac:dyDescent="0.4">
      <c r="B16" s="39" t="s">
        <v>73</v>
      </c>
      <c r="C16" s="28" t="s">
        <v>46</v>
      </c>
      <c r="D16" s="74">
        <v>0</v>
      </c>
      <c r="E16" s="41">
        <f t="shared" si="0"/>
        <v>0</v>
      </c>
      <c r="I16" s="1">
        <f>SUM(I4:I15)</f>
        <v>6077.25</v>
      </c>
      <c r="J16" s="1">
        <f>SUM(J4:J15)</f>
        <v>7427.7500000000009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56510</v>
      </c>
      <c r="E19" s="41">
        <f t="shared" si="0"/>
        <v>56510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65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65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J16</f>
        <v>7427.7500000000009</v>
      </c>
      <c r="E23" s="41">
        <f t="shared" si="0"/>
        <v>7427.7500000000009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Landfill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5" si="3">VLOOKUP($B34,$B$4:$C$30,2,0)</f>
        <v>Recycled/Reused</v>
      </c>
      <c r="D34" s="40">
        <f t="shared" ref="D34:D54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/>
      <c r="D35" s="40">
        <f t="shared" si="4"/>
        <v>0</v>
      </c>
      <c r="E35" s="49" t="s">
        <v>93</v>
      </c>
      <c r="G35" s="50" t="s">
        <v>46</v>
      </c>
      <c r="H35" s="55">
        <f>SUMIFS($D$33:$D$55,$C$33:$C$55,$G35)</f>
        <v>97470</v>
      </c>
    </row>
    <row r="36" spans="2:15" ht="16.5" thickBot="1" x14ac:dyDescent="0.45">
      <c r="B36" s="48" t="s">
        <v>58</v>
      </c>
      <c r="C36" s="39"/>
      <c r="D36" s="40">
        <f t="shared" si="4"/>
        <v>0</v>
      </c>
      <c r="E36" s="49" t="s">
        <v>93</v>
      </c>
      <c r="G36" s="52" t="s">
        <v>65</v>
      </c>
      <c r="H36" s="55">
        <f>SUMIFS($D$33:$D$55,$C$33:$C$55,$G36)</f>
        <v>13505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40960</v>
      </c>
      <c r="E37" s="49" t="s">
        <v>92</v>
      </c>
      <c r="G37" s="54" t="s">
        <v>31</v>
      </c>
      <c r="H37" s="55">
        <f>D56-SUM(D35:D36)</f>
        <v>110975</v>
      </c>
    </row>
    <row r="38" spans="2:15" ht="32.5" thickBot="1" x14ac:dyDescent="0.45">
      <c r="B38" s="48" t="s">
        <v>64</v>
      </c>
      <c r="C38" s="39" t="str">
        <f t="shared" si="3"/>
        <v>Landfill</v>
      </c>
      <c r="D38" s="40">
        <f t="shared" si="4"/>
        <v>6077.25</v>
      </c>
      <c r="E38" s="49" t="s">
        <v>92</v>
      </c>
      <c r="G38" s="56" t="s">
        <v>94</v>
      </c>
      <c r="H38" s="75">
        <f>IF(ISERROR(H35/H37), "ZERO Waste Generated", (H35/H37))</f>
        <v>0.87830592475782832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 t="shared" si="4"/>
        <v>0</v>
      </c>
      <c r="E42" s="49" t="s">
        <v>92</v>
      </c>
      <c r="G42" s="58" t="s">
        <v>95</v>
      </c>
      <c r="H42" s="51">
        <f>D38*0.5</f>
        <v>3038.625</v>
      </c>
    </row>
    <row r="43" spans="2:15" x14ac:dyDescent="0.4">
      <c r="B43" s="48" t="s">
        <v>74</v>
      </c>
      <c r="C43" s="39" t="str">
        <f t="shared" si="3"/>
        <v>Landfill</v>
      </c>
      <c r="D43" s="40">
        <f t="shared" si="4"/>
        <v>0</v>
      </c>
      <c r="E43" s="49" t="s">
        <v>92</v>
      </c>
      <c r="G43" s="59" t="s">
        <v>96</v>
      </c>
      <c r="H43" s="60">
        <f>SUM(D41,D47,D53)</f>
        <v>0</v>
      </c>
    </row>
    <row r="44" spans="2:15" ht="16.5" thickBot="1" x14ac:dyDescent="0.45">
      <c r="B44" s="48" t="s">
        <v>75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D54</f>
        <v>0</v>
      </c>
    </row>
    <row r="45" spans="2:15" x14ac:dyDescent="0.4">
      <c r="B45" s="48" t="s">
        <v>76</v>
      </c>
      <c r="C45" s="39" t="str">
        <f t="shared" si="3"/>
        <v>Recycled/Reused</v>
      </c>
      <c r="D45" s="40">
        <f t="shared" si="4"/>
        <v>56510</v>
      </c>
      <c r="E45" s="49" t="s">
        <v>92</v>
      </c>
    </row>
    <row r="46" spans="2:15" x14ac:dyDescent="0.4">
      <c r="B46" s="48" t="s">
        <v>77</v>
      </c>
      <c r="C46" s="39" t="str">
        <f t="shared" si="3"/>
        <v>Landfill</v>
      </c>
      <c r="D46" s="40">
        <f t="shared" si="4"/>
        <v>0</v>
      </c>
      <c r="E46" s="49" t="s">
        <v>92</v>
      </c>
    </row>
    <row r="47" spans="2:15" x14ac:dyDescent="0.4">
      <c r="B47" s="48" t="s">
        <v>78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79</v>
      </c>
      <c r="C48" s="39" t="str">
        <f t="shared" si="3"/>
        <v>Landfill</v>
      </c>
      <c r="D48" s="40">
        <f t="shared" si="4"/>
        <v>0</v>
      </c>
      <c r="E48" s="49" t="s">
        <v>92</v>
      </c>
    </row>
    <row r="49" spans="2:5" x14ac:dyDescent="0.4">
      <c r="B49" s="48" t="s">
        <v>80</v>
      </c>
      <c r="C49" s="39" t="str">
        <f t="shared" si="3"/>
        <v>Landfill</v>
      </c>
      <c r="D49" s="40">
        <f t="shared" si="4"/>
        <v>7427.7500000000009</v>
      </c>
      <c r="E49" s="49" t="s">
        <v>92</v>
      </c>
    </row>
    <row r="50" spans="2:5" x14ac:dyDescent="0.4">
      <c r="B50" s="48" t="s">
        <v>81</v>
      </c>
      <c r="C50" s="39" t="str">
        <f t="shared" si="3"/>
        <v>Recycled/Reused</v>
      </c>
      <c r="D50" s="40">
        <f t="shared" si="4"/>
        <v>0</v>
      </c>
      <c r="E50" s="49" t="s">
        <v>92</v>
      </c>
    </row>
    <row r="51" spans="2:5" x14ac:dyDescent="0.4">
      <c r="B51" s="48" t="s">
        <v>82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83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84</v>
      </c>
      <c r="C53" s="39" t="str">
        <f t="shared" si="3"/>
        <v>Recycled/Reused</v>
      </c>
      <c r="D53" s="40">
        <f t="shared" si="4"/>
        <v>0</v>
      </c>
      <c r="E53" s="49" t="s">
        <v>92</v>
      </c>
    </row>
    <row r="54" spans="2:5" x14ac:dyDescent="0.4">
      <c r="B54" s="48" t="s">
        <v>85</v>
      </c>
      <c r="C54" s="39" t="str">
        <f t="shared" si="3"/>
        <v>Recycled/Reused</v>
      </c>
      <c r="D54" s="40">
        <f t="shared" si="4"/>
        <v>0</v>
      </c>
      <c r="E54" s="49" t="s">
        <v>92</v>
      </c>
    </row>
    <row r="55" spans="2:5" ht="18.5" thickBot="1" x14ac:dyDescent="0.45">
      <c r="B55" s="64" t="s">
        <v>87</v>
      </c>
      <c r="C55" s="65" t="str">
        <f t="shared" si="3"/>
        <v>Recycled/Reused</v>
      </c>
      <c r="D55" s="66">
        <f>SUMIF($B$3:$B$30,$B55,$E$3:$E$30)*1620</f>
        <v>0</v>
      </c>
      <c r="E55" s="67" t="s">
        <v>92</v>
      </c>
    </row>
    <row r="56" spans="2:5" ht="16.5" thickBot="1" x14ac:dyDescent="0.45">
      <c r="B56" s="192" t="s">
        <v>31</v>
      </c>
      <c r="C56" s="193"/>
      <c r="D56" s="194">
        <f>SUM(D33:D55)</f>
        <v>110975</v>
      </c>
      <c r="E56" s="195"/>
    </row>
  </sheetData>
  <mergeCells count="3">
    <mergeCell ref="C1:C2"/>
    <mergeCell ref="B56:C56"/>
    <mergeCell ref="D56:E56"/>
  </mergeCells>
  <dataValidations count="1">
    <dataValidation type="list" allowBlank="1" showInputMessage="1" showErrorMessage="1" sqref="B2" xr:uid="{14733605-00F4-484B-BEFB-25EA9D87002F}">
      <formula1>$L$2:$L$10</formula1>
    </dataValidation>
  </dataValidations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78825-8320-4E1F-82D0-7B1F1DD48910}">
  <sheetPr>
    <tabColor rgb="FF92D050"/>
  </sheetPr>
  <dimension ref="B1:T58"/>
  <sheetViews>
    <sheetView topLeftCell="A38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20" ht="20.25" customHeight="1" thickBot="1" x14ac:dyDescent="0.45">
      <c r="B1" s="7" t="s">
        <v>37</v>
      </c>
      <c r="C1" s="187" t="s">
        <v>38</v>
      </c>
      <c r="D1" s="76" t="s">
        <v>39</v>
      </c>
      <c r="E1" s="69"/>
    </row>
    <row r="2" spans="2:20" ht="29.5" thickBot="1" x14ac:dyDescent="0.45">
      <c r="B2" s="9" t="s">
        <v>17</v>
      </c>
      <c r="C2" s="188"/>
      <c r="D2" s="70" t="s">
        <v>115</v>
      </c>
      <c r="E2" s="11" t="s">
        <v>40</v>
      </c>
      <c r="L2" s="6" t="s">
        <v>15</v>
      </c>
    </row>
    <row r="3" spans="2:20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L3" s="6" t="s">
        <v>16</v>
      </c>
    </row>
    <row r="4" spans="2:20" ht="16.5" thickBot="1" x14ac:dyDescent="0.45">
      <c r="B4" s="15" t="s">
        <v>45</v>
      </c>
      <c r="C4" s="16" t="s">
        <v>65</v>
      </c>
      <c r="D4" s="71">
        <v>0</v>
      </c>
      <c r="E4" s="18">
        <f t="shared" si="0"/>
        <v>0</v>
      </c>
      <c r="I4" s="1" t="s">
        <v>42</v>
      </c>
      <c r="J4" s="1" t="s">
        <v>43</v>
      </c>
      <c r="L4" s="1" t="s">
        <v>109</v>
      </c>
      <c r="N4" s="189" t="s">
        <v>44</v>
      </c>
      <c r="O4" s="190"/>
      <c r="P4" s="190"/>
      <c r="Q4" s="190"/>
      <c r="R4" s="190"/>
      <c r="S4" s="190"/>
      <c r="T4" s="191"/>
    </row>
    <row r="5" spans="2:20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30</v>
      </c>
      <c r="G5" s="1" t="s">
        <v>47</v>
      </c>
      <c r="H5" s="88">
        <v>15</v>
      </c>
      <c r="I5" s="1">
        <f>$O$12*H5*F5*$M$5</f>
        <v>36</v>
      </c>
      <c r="J5" s="1">
        <f>$O$12*F5*H5*$M$6</f>
        <v>54</v>
      </c>
      <c r="L5" s="1" t="s">
        <v>110</v>
      </c>
      <c r="M5" s="82">
        <v>0.4</v>
      </c>
      <c r="N5" s="19" t="s">
        <v>48</v>
      </c>
      <c r="O5" s="20"/>
      <c r="P5" s="21" t="s">
        <v>49</v>
      </c>
      <c r="Q5" s="20"/>
      <c r="R5" s="20"/>
      <c r="S5" s="20"/>
      <c r="T5" s="22"/>
    </row>
    <row r="6" spans="2:20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31</v>
      </c>
      <c r="G6" s="1" t="s">
        <v>13</v>
      </c>
      <c r="H6" s="88">
        <v>15</v>
      </c>
      <c r="I6" s="1">
        <f t="shared" ref="I6:I16" si="1">$O$12*H6*F6*$M$5</f>
        <v>37.200000000000003</v>
      </c>
      <c r="J6" s="1">
        <f t="shared" ref="J6:J16" si="2">$O$12*F6*H6*$M$6</f>
        <v>55.8</v>
      </c>
      <c r="L6" s="1" t="s">
        <v>111</v>
      </c>
      <c r="M6" s="82">
        <v>0.6</v>
      </c>
      <c r="N6" s="25" t="s">
        <v>33</v>
      </c>
      <c r="O6" s="26"/>
      <c r="P6" s="26"/>
      <c r="Q6" s="26">
        <v>0.45</v>
      </c>
      <c r="R6" s="26"/>
      <c r="S6" s="26"/>
      <c r="T6" s="27" t="s">
        <v>51</v>
      </c>
    </row>
    <row r="7" spans="2:20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30</v>
      </c>
      <c r="G7" s="1" t="s">
        <v>53</v>
      </c>
      <c r="H7" s="88">
        <v>15</v>
      </c>
      <c r="I7" s="1">
        <f t="shared" si="1"/>
        <v>36</v>
      </c>
      <c r="J7" s="1">
        <f t="shared" si="2"/>
        <v>54</v>
      </c>
      <c r="L7" s="6" t="s">
        <v>19</v>
      </c>
      <c r="N7" s="25" t="s">
        <v>36</v>
      </c>
      <c r="O7" s="26"/>
      <c r="P7" s="26"/>
      <c r="Q7" s="26">
        <v>0.46</v>
      </c>
      <c r="R7" s="26"/>
      <c r="S7" s="26"/>
      <c r="T7" s="27" t="s">
        <v>51</v>
      </c>
    </row>
    <row r="8" spans="2:20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55</v>
      </c>
      <c r="H8" s="88">
        <v>15</v>
      </c>
      <c r="I8" s="1">
        <f t="shared" si="1"/>
        <v>37.200000000000003</v>
      </c>
      <c r="J8" s="1">
        <f t="shared" si="2"/>
        <v>55.8</v>
      </c>
      <c r="L8" s="6" t="s">
        <v>20</v>
      </c>
      <c r="N8" s="25" t="s">
        <v>32</v>
      </c>
      <c r="O8" s="26"/>
      <c r="P8" s="26"/>
      <c r="Q8" s="26">
        <v>0.62</v>
      </c>
      <c r="R8" s="26"/>
      <c r="S8" s="26"/>
      <c r="T8" s="27" t="s">
        <v>51</v>
      </c>
    </row>
    <row r="9" spans="2:20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31</v>
      </c>
      <c r="G9" s="1" t="s">
        <v>57</v>
      </c>
      <c r="H9" s="88">
        <v>15</v>
      </c>
      <c r="I9" s="1">
        <f t="shared" si="1"/>
        <v>37.200000000000003</v>
      </c>
      <c r="J9" s="1">
        <f t="shared" si="2"/>
        <v>55.8</v>
      </c>
      <c r="L9" s="6" t="s">
        <v>21</v>
      </c>
      <c r="N9" s="25" t="s">
        <v>35</v>
      </c>
      <c r="O9" s="26"/>
      <c r="P9" s="26"/>
      <c r="Q9" s="26">
        <v>0.39</v>
      </c>
      <c r="R9" s="26"/>
      <c r="S9" s="26"/>
      <c r="T9" s="27" t="s">
        <v>51</v>
      </c>
    </row>
    <row r="10" spans="2:20" ht="16.5" thickBot="1" x14ac:dyDescent="0.45">
      <c r="B10" s="12" t="s">
        <v>60</v>
      </c>
      <c r="C10" s="23"/>
      <c r="D10" s="38">
        <f>SUM(D11:D28)</f>
        <v>1095</v>
      </c>
      <c r="E10" s="24">
        <f t="shared" si="0"/>
        <v>1095</v>
      </c>
      <c r="F10" s="1">
        <v>30</v>
      </c>
      <c r="G10" s="1" t="s">
        <v>59</v>
      </c>
      <c r="H10" s="88">
        <v>15</v>
      </c>
      <c r="I10" s="1">
        <f t="shared" si="1"/>
        <v>36</v>
      </c>
      <c r="J10" s="1">
        <f t="shared" si="2"/>
        <v>54</v>
      </c>
      <c r="L10" s="6" t="s">
        <v>22</v>
      </c>
      <c r="N10" s="35" t="s">
        <v>34</v>
      </c>
      <c r="O10" s="36"/>
      <c r="P10" s="36"/>
      <c r="Q10" s="36">
        <v>0.56999999999999995</v>
      </c>
      <c r="R10" s="36"/>
      <c r="S10" s="36"/>
      <c r="T10" s="37" t="s">
        <v>51</v>
      </c>
    </row>
    <row r="11" spans="2:20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31</v>
      </c>
      <c r="G11" s="1" t="s">
        <v>61</v>
      </c>
      <c r="H11" s="88">
        <v>15</v>
      </c>
      <c r="I11" s="1">
        <f t="shared" si="1"/>
        <v>37.200000000000003</v>
      </c>
      <c r="J11" s="1">
        <f t="shared" si="2"/>
        <v>55.8</v>
      </c>
    </row>
    <row r="12" spans="2:20" x14ac:dyDescent="0.4">
      <c r="B12" s="39" t="s">
        <v>64</v>
      </c>
      <c r="C12" s="40" t="s">
        <v>65</v>
      </c>
      <c r="D12" s="41">
        <f>I17</f>
        <v>438</v>
      </c>
      <c r="E12" s="41">
        <f t="shared" si="0"/>
        <v>438</v>
      </c>
      <c r="F12" s="1">
        <v>30</v>
      </c>
      <c r="G12" s="1" t="s">
        <v>63</v>
      </c>
      <c r="H12" s="88">
        <v>15</v>
      </c>
      <c r="I12" s="1">
        <f t="shared" si="1"/>
        <v>36</v>
      </c>
      <c r="J12" s="1">
        <f t="shared" si="2"/>
        <v>54</v>
      </c>
      <c r="N12" s="86" t="s">
        <v>112</v>
      </c>
      <c r="O12" s="87">
        <v>0.2</v>
      </c>
      <c r="P12" s="86" t="s">
        <v>113</v>
      </c>
    </row>
    <row r="13" spans="2:20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66</v>
      </c>
      <c r="H13" s="88">
        <v>15</v>
      </c>
      <c r="I13" s="1">
        <f t="shared" si="1"/>
        <v>37.200000000000003</v>
      </c>
      <c r="J13" s="1">
        <f t="shared" si="2"/>
        <v>55.8</v>
      </c>
    </row>
    <row r="14" spans="2:20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31</v>
      </c>
      <c r="G14" s="1" t="s">
        <v>68</v>
      </c>
      <c r="H14" s="88">
        <v>15</v>
      </c>
      <c r="I14" s="1">
        <f t="shared" si="1"/>
        <v>37.200000000000003</v>
      </c>
      <c r="J14" s="1">
        <f t="shared" si="2"/>
        <v>55.8</v>
      </c>
    </row>
    <row r="15" spans="2:20" x14ac:dyDescent="0.4">
      <c r="B15" s="39" t="s">
        <v>71</v>
      </c>
      <c r="C15" s="28" t="s">
        <v>46</v>
      </c>
      <c r="D15" s="79">
        <v>0</v>
      </c>
      <c r="E15" s="41">
        <f t="shared" si="0"/>
        <v>0</v>
      </c>
      <c r="F15" s="1">
        <v>28</v>
      </c>
      <c r="G15" s="1" t="s">
        <v>70</v>
      </c>
      <c r="H15" s="88">
        <v>15</v>
      </c>
      <c r="I15" s="1">
        <f t="shared" si="1"/>
        <v>33.6</v>
      </c>
      <c r="J15" s="1">
        <f t="shared" si="2"/>
        <v>50.400000000000006</v>
      </c>
    </row>
    <row r="16" spans="2:20" x14ac:dyDescent="0.4">
      <c r="B16" s="39" t="s">
        <v>73</v>
      </c>
      <c r="C16" s="28" t="s">
        <v>46</v>
      </c>
      <c r="D16" s="74">
        <v>0</v>
      </c>
      <c r="E16" s="41">
        <f t="shared" si="0"/>
        <v>0</v>
      </c>
      <c r="F16" s="1">
        <v>31</v>
      </c>
      <c r="G16" s="1" t="s">
        <v>72</v>
      </c>
      <c r="H16" s="88">
        <v>15</v>
      </c>
      <c r="I16" s="1">
        <f t="shared" si="1"/>
        <v>37.200000000000003</v>
      </c>
      <c r="J16" s="1">
        <f t="shared" si="2"/>
        <v>55.8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  <c r="I17" s="1">
        <f>SUM(I5:I16)</f>
        <v>438</v>
      </c>
      <c r="J17" s="1">
        <f>SUM(J5:J16)</f>
        <v>657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J17</f>
        <v>657</v>
      </c>
      <c r="E23" s="41">
        <f t="shared" si="0"/>
        <v>657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Landfill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7" si="3">VLOOKUP($B34,$B$4:$C$30,2,0)</f>
        <v>Recycled/Reused</v>
      </c>
      <c r="D34" s="40">
        <f t="shared" ref="D34:D56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/>
      <c r="D35" s="40">
        <f t="shared" si="4"/>
        <v>0</v>
      </c>
      <c r="E35" s="49" t="s">
        <v>93</v>
      </c>
      <c r="G35" s="50" t="s">
        <v>46</v>
      </c>
      <c r="H35" s="51">
        <f>SUMIFS($D$33:$D$57,$C$33:$C$57,$G35)</f>
        <v>0</v>
      </c>
    </row>
    <row r="36" spans="2:15" ht="16.5" thickBot="1" x14ac:dyDescent="0.45">
      <c r="B36" s="48" t="s">
        <v>58</v>
      </c>
      <c r="C36" s="39"/>
      <c r="D36" s="40">
        <f t="shared" si="4"/>
        <v>0</v>
      </c>
      <c r="E36" s="49" t="s">
        <v>93</v>
      </c>
      <c r="G36" s="52" t="s">
        <v>65</v>
      </c>
      <c r="H36" s="53">
        <f>SUMIFS($D$33:$D$57,$C$33:$C$57,$G36)</f>
        <v>1095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D58-SUM(D35:D36)</f>
        <v>1095</v>
      </c>
    </row>
    <row r="38" spans="2:15" ht="32.5" thickBot="1" x14ac:dyDescent="0.45">
      <c r="B38" s="48" t="s">
        <v>64</v>
      </c>
      <c r="C38" s="39" t="str">
        <f t="shared" si="3"/>
        <v>Landfill</v>
      </c>
      <c r="D38" s="40">
        <f t="shared" si="4"/>
        <v>438</v>
      </c>
      <c r="E38" s="49" t="s">
        <v>92</v>
      </c>
      <c r="G38" s="56" t="s">
        <v>94</v>
      </c>
      <c r="H38" s="75">
        <f>IF(ISERROR(H35/H37), "ZERO Waste Generated", (H35/H37))</f>
        <v>0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>SUMIF($B$3:$B$30,$B42,$E$3:$E$30)*0.5</f>
        <v>0</v>
      </c>
      <c r="E42" s="49" t="s">
        <v>92</v>
      </c>
      <c r="G42" s="58" t="s">
        <v>95</v>
      </c>
      <c r="H42" s="51">
        <f>D38*0.5</f>
        <v>219</v>
      </c>
    </row>
    <row r="43" spans="2:15" x14ac:dyDescent="0.4">
      <c r="B43" s="48" t="s">
        <v>73</v>
      </c>
      <c r="C43" s="39" t="s">
        <v>65</v>
      </c>
      <c r="D43" s="40">
        <f>SUMIF($B$3:$B$30,$B43,$E$3:$E$30)*0.5</f>
        <v>0</v>
      </c>
      <c r="E43" s="49" t="s">
        <v>92</v>
      </c>
      <c r="G43" s="59" t="s">
        <v>96</v>
      </c>
      <c r="H43" s="60">
        <f>SUM(D41,D48,D55)</f>
        <v>0</v>
      </c>
    </row>
    <row r="44" spans="2:15" ht="16.5" thickBot="1" x14ac:dyDescent="0.45">
      <c r="B44" s="48" t="s">
        <v>74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D56</f>
        <v>0</v>
      </c>
    </row>
    <row r="45" spans="2:15" x14ac:dyDescent="0.4">
      <c r="B45" s="48" t="s">
        <v>75</v>
      </c>
      <c r="C45" s="39" t="str">
        <f t="shared" si="3"/>
        <v>Landfill</v>
      </c>
      <c r="D45" s="40">
        <f t="shared" si="4"/>
        <v>0</v>
      </c>
      <c r="E45" s="49" t="s">
        <v>92</v>
      </c>
    </row>
    <row r="46" spans="2:15" x14ac:dyDescent="0.4">
      <c r="B46" s="48" t="s">
        <v>76</v>
      </c>
      <c r="C46" s="39" t="str">
        <f t="shared" si="3"/>
        <v>Recycled/Reused</v>
      </c>
      <c r="D46" s="40">
        <f t="shared" si="4"/>
        <v>0</v>
      </c>
      <c r="E46" s="49" t="s">
        <v>92</v>
      </c>
    </row>
    <row r="47" spans="2:15" x14ac:dyDescent="0.4">
      <c r="B47" s="48" t="s">
        <v>77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78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79</v>
      </c>
      <c r="C49" s="39" t="str">
        <f t="shared" si="3"/>
        <v>Recycled/Reused</v>
      </c>
      <c r="D49" s="40">
        <f t="shared" si="4"/>
        <v>0</v>
      </c>
      <c r="E49" s="49" t="s">
        <v>92</v>
      </c>
    </row>
    <row r="50" spans="2:5" x14ac:dyDescent="0.4">
      <c r="B50" s="48" t="s">
        <v>80</v>
      </c>
      <c r="C50" s="39" t="str">
        <f t="shared" si="3"/>
        <v>Landfill</v>
      </c>
      <c r="D50" s="40">
        <f t="shared" si="4"/>
        <v>657</v>
      </c>
      <c r="E50" s="49" t="s">
        <v>92</v>
      </c>
    </row>
    <row r="51" spans="2:5" x14ac:dyDescent="0.4">
      <c r="B51" s="48" t="s">
        <v>81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82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83</v>
      </c>
      <c r="C53" s="39" t="s">
        <v>65</v>
      </c>
      <c r="D53" s="40">
        <f>SUMIF($B$3:$B$30,$B53,$E$3:$E$30)*0.3</f>
        <v>0</v>
      </c>
      <c r="E53" s="49" t="s">
        <v>92</v>
      </c>
    </row>
    <row r="54" spans="2:5" x14ac:dyDescent="0.4">
      <c r="B54" s="48" t="s">
        <v>83</v>
      </c>
      <c r="C54" s="39" t="str">
        <f t="shared" si="3"/>
        <v>Recycled/Reused</v>
      </c>
      <c r="D54" s="40">
        <f>SUMIF($B$3:$B$30,$B54,$E$3:$E$30)*0.7</f>
        <v>0</v>
      </c>
      <c r="E54" s="49" t="s">
        <v>92</v>
      </c>
    </row>
    <row r="55" spans="2:5" x14ac:dyDescent="0.4">
      <c r="B55" s="48" t="s">
        <v>84</v>
      </c>
      <c r="C55" s="39" t="str">
        <f t="shared" si="3"/>
        <v>Recycled/Reused</v>
      </c>
      <c r="D55" s="40">
        <f t="shared" si="4"/>
        <v>0</v>
      </c>
      <c r="E55" s="49" t="s">
        <v>92</v>
      </c>
    </row>
    <row r="56" spans="2:5" x14ac:dyDescent="0.4">
      <c r="B56" s="48" t="s">
        <v>85</v>
      </c>
      <c r="C56" s="39" t="str">
        <f t="shared" si="3"/>
        <v>Recycled/Reused</v>
      </c>
      <c r="D56" s="40">
        <f t="shared" si="4"/>
        <v>0</v>
      </c>
      <c r="E56" s="49" t="s">
        <v>92</v>
      </c>
    </row>
    <row r="57" spans="2:5" ht="18.5" thickBot="1" x14ac:dyDescent="0.45">
      <c r="B57" s="64" t="s">
        <v>87</v>
      </c>
      <c r="C57" s="65" t="str">
        <f t="shared" si="3"/>
        <v>Recycled/Reused</v>
      </c>
      <c r="D57" s="66">
        <f>SUMIF($B$3:$B$30,$B57,$E$3:$E$30)*1620</f>
        <v>0</v>
      </c>
      <c r="E57" s="67" t="s">
        <v>92</v>
      </c>
    </row>
    <row r="58" spans="2:5" ht="16.5" thickBot="1" x14ac:dyDescent="0.45">
      <c r="B58" s="192" t="s">
        <v>31</v>
      </c>
      <c r="C58" s="193"/>
      <c r="D58" s="194">
        <f>SUM(D33:D57)</f>
        <v>1095</v>
      </c>
      <c r="E58" s="195"/>
    </row>
  </sheetData>
  <mergeCells count="4">
    <mergeCell ref="C1:C2"/>
    <mergeCell ref="N4:T4"/>
    <mergeCell ref="B58:C58"/>
    <mergeCell ref="D58:E58"/>
  </mergeCells>
  <dataValidations count="1">
    <dataValidation type="list" allowBlank="1" showInputMessage="1" showErrorMessage="1" sqref="B2" xr:uid="{EF49553D-4503-4C55-B9EF-4EAE55C4D131}">
      <formula1>$L$2:$L$10</formula1>
    </dataValidation>
  </dataValidations>
  <hyperlinks>
    <hyperlink ref="P5" r:id="rId1" xr:uid="{378EAE47-0EFD-4C8B-90A0-7A841B8A4421}"/>
  </hyperlinks>
  <pageMargins left="0.7" right="0.7" top="0.75" bottom="0.75" header="0.3" footer="0.3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F876-8A0F-495D-B224-D8FA04902C9A}">
  <sheetPr>
    <tabColor rgb="FF92D050"/>
  </sheetPr>
  <dimension ref="B1:T58"/>
  <sheetViews>
    <sheetView topLeftCell="D4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20" ht="20.25" customHeight="1" thickBot="1" x14ac:dyDescent="0.45">
      <c r="B1" s="7" t="s">
        <v>37</v>
      </c>
      <c r="C1" s="187" t="s">
        <v>38</v>
      </c>
      <c r="D1" s="76" t="s">
        <v>39</v>
      </c>
      <c r="E1" s="69"/>
    </row>
    <row r="2" spans="2:20" ht="29.5" thickBot="1" x14ac:dyDescent="0.45">
      <c r="B2" s="9" t="s">
        <v>14</v>
      </c>
      <c r="C2" s="188"/>
      <c r="D2" s="70" t="s">
        <v>28</v>
      </c>
      <c r="E2" s="11" t="s">
        <v>40</v>
      </c>
      <c r="L2" s="6" t="s">
        <v>15</v>
      </c>
    </row>
    <row r="3" spans="2:20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L3" s="6" t="s">
        <v>16</v>
      </c>
    </row>
    <row r="4" spans="2:20" ht="16.5" thickBot="1" x14ac:dyDescent="0.45">
      <c r="B4" s="15" t="s">
        <v>45</v>
      </c>
      <c r="C4" s="16" t="s">
        <v>65</v>
      </c>
      <c r="D4" s="71">
        <v>0</v>
      </c>
      <c r="E4" s="18">
        <f t="shared" si="0"/>
        <v>0</v>
      </c>
      <c r="I4" s="1" t="s">
        <v>42</v>
      </c>
      <c r="J4" s="1" t="s">
        <v>43</v>
      </c>
      <c r="L4" s="1" t="s">
        <v>109</v>
      </c>
      <c r="N4" s="189" t="s">
        <v>44</v>
      </c>
      <c r="O4" s="190"/>
      <c r="P4" s="190"/>
      <c r="Q4" s="190"/>
      <c r="R4" s="190"/>
      <c r="S4" s="190"/>
      <c r="T4" s="191"/>
    </row>
    <row r="5" spans="2:20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30</v>
      </c>
      <c r="G5" s="1" t="s">
        <v>47</v>
      </c>
      <c r="H5" s="88">
        <v>15</v>
      </c>
      <c r="I5" s="1">
        <f>$O$12*H5*F5*$M$5</f>
        <v>36</v>
      </c>
      <c r="J5" s="1">
        <f>$O$12*F5*H5*$M$6</f>
        <v>54</v>
      </c>
      <c r="L5" s="1" t="s">
        <v>110</v>
      </c>
      <c r="M5" s="82">
        <v>0.4</v>
      </c>
      <c r="N5" s="19" t="s">
        <v>48</v>
      </c>
      <c r="O5" s="20"/>
      <c r="P5" s="21" t="s">
        <v>49</v>
      </c>
      <c r="Q5" s="20"/>
      <c r="R5" s="20"/>
      <c r="S5" s="20"/>
      <c r="T5" s="22"/>
    </row>
    <row r="6" spans="2:20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31</v>
      </c>
      <c r="G6" s="1" t="s">
        <v>13</v>
      </c>
      <c r="H6" s="88">
        <v>15</v>
      </c>
      <c r="I6" s="1">
        <f t="shared" ref="I6:I16" si="1">$O$12*H6*F6*$M$5</f>
        <v>37.200000000000003</v>
      </c>
      <c r="J6" s="1">
        <f t="shared" ref="J6:J16" si="2">$O$12*F6*H6*$M$6</f>
        <v>55.8</v>
      </c>
      <c r="L6" s="1" t="s">
        <v>111</v>
      </c>
      <c r="M6" s="82">
        <v>0.6</v>
      </c>
      <c r="N6" s="25" t="s">
        <v>33</v>
      </c>
      <c r="O6" s="26"/>
      <c r="P6" s="26"/>
      <c r="Q6" s="26">
        <v>0.45</v>
      </c>
      <c r="R6" s="26"/>
      <c r="S6" s="26"/>
      <c r="T6" s="27" t="s">
        <v>51</v>
      </c>
    </row>
    <row r="7" spans="2:20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30</v>
      </c>
      <c r="G7" s="1" t="s">
        <v>53</v>
      </c>
      <c r="H7" s="88">
        <v>15</v>
      </c>
      <c r="I7" s="1">
        <f t="shared" si="1"/>
        <v>36</v>
      </c>
      <c r="J7" s="1">
        <f t="shared" si="2"/>
        <v>54</v>
      </c>
      <c r="L7" s="6" t="s">
        <v>19</v>
      </c>
      <c r="N7" s="25" t="s">
        <v>36</v>
      </c>
      <c r="O7" s="26"/>
      <c r="P7" s="26"/>
      <c r="Q7" s="26">
        <v>0.46</v>
      </c>
      <c r="R7" s="26"/>
      <c r="S7" s="26"/>
      <c r="T7" s="27" t="s">
        <v>51</v>
      </c>
    </row>
    <row r="8" spans="2:20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55</v>
      </c>
      <c r="H8" s="88">
        <v>15</v>
      </c>
      <c r="I8" s="1">
        <f t="shared" si="1"/>
        <v>37.200000000000003</v>
      </c>
      <c r="J8" s="1">
        <f t="shared" si="2"/>
        <v>55.8</v>
      </c>
      <c r="L8" s="6" t="s">
        <v>20</v>
      </c>
      <c r="N8" s="25" t="s">
        <v>32</v>
      </c>
      <c r="O8" s="26"/>
      <c r="P8" s="26"/>
      <c r="Q8" s="26">
        <v>0.62</v>
      </c>
      <c r="R8" s="26"/>
      <c r="S8" s="26"/>
      <c r="T8" s="27" t="s">
        <v>51</v>
      </c>
    </row>
    <row r="9" spans="2:20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31</v>
      </c>
      <c r="G9" s="1" t="s">
        <v>57</v>
      </c>
      <c r="H9" s="88">
        <v>15</v>
      </c>
      <c r="I9" s="1">
        <f t="shared" si="1"/>
        <v>37.200000000000003</v>
      </c>
      <c r="J9" s="1">
        <f t="shared" si="2"/>
        <v>55.8</v>
      </c>
      <c r="L9" s="6" t="s">
        <v>21</v>
      </c>
      <c r="N9" s="25" t="s">
        <v>35</v>
      </c>
      <c r="O9" s="26"/>
      <c r="P9" s="26"/>
      <c r="Q9" s="26">
        <v>0.39</v>
      </c>
      <c r="R9" s="26"/>
      <c r="S9" s="26"/>
      <c r="T9" s="27" t="s">
        <v>51</v>
      </c>
    </row>
    <row r="10" spans="2:20" ht="16.5" thickBot="1" x14ac:dyDescent="0.45">
      <c r="B10" s="12" t="s">
        <v>60</v>
      </c>
      <c r="C10" s="23"/>
      <c r="D10" s="38">
        <f>SUM(D11:D28)</f>
        <v>1095</v>
      </c>
      <c r="E10" s="24">
        <f t="shared" si="0"/>
        <v>1095</v>
      </c>
      <c r="F10" s="1">
        <v>30</v>
      </c>
      <c r="G10" s="1" t="s">
        <v>59</v>
      </c>
      <c r="H10" s="88">
        <v>15</v>
      </c>
      <c r="I10" s="1">
        <f t="shared" si="1"/>
        <v>36</v>
      </c>
      <c r="J10" s="1">
        <f t="shared" si="2"/>
        <v>54</v>
      </c>
      <c r="L10" s="6" t="s">
        <v>22</v>
      </c>
      <c r="N10" s="35" t="s">
        <v>34</v>
      </c>
      <c r="O10" s="36"/>
      <c r="P10" s="36"/>
      <c r="Q10" s="36">
        <v>0.56999999999999995</v>
      </c>
      <c r="R10" s="36"/>
      <c r="S10" s="36"/>
      <c r="T10" s="37" t="s">
        <v>51</v>
      </c>
    </row>
    <row r="11" spans="2:20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31</v>
      </c>
      <c r="G11" s="1" t="s">
        <v>61</v>
      </c>
      <c r="H11" s="88">
        <v>15</v>
      </c>
      <c r="I11" s="1">
        <f t="shared" si="1"/>
        <v>37.200000000000003</v>
      </c>
      <c r="J11" s="1">
        <f t="shared" si="2"/>
        <v>55.8</v>
      </c>
    </row>
    <row r="12" spans="2:20" x14ac:dyDescent="0.4">
      <c r="B12" s="39" t="s">
        <v>64</v>
      </c>
      <c r="C12" s="40" t="s">
        <v>65</v>
      </c>
      <c r="D12" s="41">
        <f>I17</f>
        <v>438</v>
      </c>
      <c r="E12" s="41">
        <f t="shared" si="0"/>
        <v>438</v>
      </c>
      <c r="F12" s="1">
        <v>30</v>
      </c>
      <c r="G12" s="1" t="s">
        <v>63</v>
      </c>
      <c r="H12" s="88">
        <v>15</v>
      </c>
      <c r="I12" s="1">
        <f t="shared" si="1"/>
        <v>36</v>
      </c>
      <c r="J12" s="1">
        <f t="shared" si="2"/>
        <v>54</v>
      </c>
      <c r="N12" s="86" t="s">
        <v>112</v>
      </c>
      <c r="O12" s="87">
        <v>0.2</v>
      </c>
      <c r="P12" s="86" t="s">
        <v>113</v>
      </c>
    </row>
    <row r="13" spans="2:20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66</v>
      </c>
      <c r="H13" s="88">
        <v>15</v>
      </c>
      <c r="I13" s="1">
        <f t="shared" si="1"/>
        <v>37.200000000000003</v>
      </c>
      <c r="J13" s="1">
        <f t="shared" si="2"/>
        <v>55.8</v>
      </c>
    </row>
    <row r="14" spans="2:20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31</v>
      </c>
      <c r="G14" s="1" t="s">
        <v>68</v>
      </c>
      <c r="H14" s="88">
        <v>15</v>
      </c>
      <c r="I14" s="1">
        <f t="shared" si="1"/>
        <v>37.200000000000003</v>
      </c>
      <c r="J14" s="1">
        <f t="shared" si="2"/>
        <v>55.8</v>
      </c>
    </row>
    <row r="15" spans="2:20" x14ac:dyDescent="0.4">
      <c r="B15" s="39" t="s">
        <v>71</v>
      </c>
      <c r="C15" s="28" t="s">
        <v>46</v>
      </c>
      <c r="D15" s="79">
        <v>0</v>
      </c>
      <c r="E15" s="41">
        <f t="shared" si="0"/>
        <v>0</v>
      </c>
      <c r="F15" s="1">
        <v>28</v>
      </c>
      <c r="G15" s="1" t="s">
        <v>70</v>
      </c>
      <c r="H15" s="88">
        <v>15</v>
      </c>
      <c r="I15" s="1">
        <f t="shared" si="1"/>
        <v>33.6</v>
      </c>
      <c r="J15" s="1">
        <f t="shared" si="2"/>
        <v>50.400000000000006</v>
      </c>
    </row>
    <row r="16" spans="2:20" x14ac:dyDescent="0.4">
      <c r="B16" s="39" t="s">
        <v>73</v>
      </c>
      <c r="C16" s="28" t="s">
        <v>46</v>
      </c>
      <c r="D16" s="74">
        <v>0</v>
      </c>
      <c r="E16" s="41">
        <f t="shared" si="0"/>
        <v>0</v>
      </c>
      <c r="F16" s="1">
        <v>31</v>
      </c>
      <c r="G16" s="1" t="s">
        <v>72</v>
      </c>
      <c r="H16" s="88">
        <v>15</v>
      </c>
      <c r="I16" s="1">
        <f t="shared" si="1"/>
        <v>37.200000000000003</v>
      </c>
      <c r="J16" s="1">
        <f t="shared" si="2"/>
        <v>55.8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  <c r="I17" s="1">
        <f>SUM(I5:I16)</f>
        <v>438</v>
      </c>
      <c r="J17" s="1">
        <f>SUM(J5:J16)</f>
        <v>657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J17</f>
        <v>657</v>
      </c>
      <c r="E23" s="41">
        <f t="shared" si="0"/>
        <v>657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Landfill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7" si="3">VLOOKUP($B34,$B$4:$C$30,2,0)</f>
        <v>Recycled/Reused</v>
      </c>
      <c r="D34" s="40">
        <f t="shared" ref="D34:D56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/>
      <c r="D35" s="40">
        <f t="shared" si="4"/>
        <v>0</v>
      </c>
      <c r="E35" s="49" t="s">
        <v>93</v>
      </c>
      <c r="G35" s="50" t="s">
        <v>46</v>
      </c>
      <c r="H35" s="51">
        <f>SUMIFS($D$33:$D$57,$C$33:$C$57,$G35)</f>
        <v>0</v>
      </c>
    </row>
    <row r="36" spans="2:15" ht="16.5" thickBot="1" x14ac:dyDescent="0.45">
      <c r="B36" s="48" t="s">
        <v>58</v>
      </c>
      <c r="C36" s="39"/>
      <c r="D36" s="40">
        <f t="shared" si="4"/>
        <v>0</v>
      </c>
      <c r="E36" s="49" t="s">
        <v>93</v>
      </c>
      <c r="G36" s="52" t="s">
        <v>65</v>
      </c>
      <c r="H36" s="53">
        <f>SUMIFS($D$33:$D$57,$C$33:$C$57,$G36)</f>
        <v>1095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D58-SUM(D35:D36)</f>
        <v>1095</v>
      </c>
    </row>
    <row r="38" spans="2:15" ht="32.5" thickBot="1" x14ac:dyDescent="0.45">
      <c r="B38" s="48" t="s">
        <v>64</v>
      </c>
      <c r="C38" s="39" t="str">
        <f t="shared" si="3"/>
        <v>Landfill</v>
      </c>
      <c r="D38" s="40">
        <f t="shared" si="4"/>
        <v>438</v>
      </c>
      <c r="E38" s="49" t="s">
        <v>92</v>
      </c>
      <c r="G38" s="56" t="s">
        <v>94</v>
      </c>
      <c r="H38" s="75">
        <f>IF(ISERROR(H35/H37), "ZERO Waste Generated", (H35/H37))</f>
        <v>0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>SUMIF($B$3:$B$30,$B42,$E$3:$E$30)*0.5</f>
        <v>0</v>
      </c>
      <c r="E42" s="49" t="s">
        <v>92</v>
      </c>
      <c r="G42" s="58" t="s">
        <v>95</v>
      </c>
      <c r="H42" s="51">
        <f>D38*0.5</f>
        <v>219</v>
      </c>
    </row>
    <row r="43" spans="2:15" x14ac:dyDescent="0.4">
      <c r="B43" s="48" t="s">
        <v>73</v>
      </c>
      <c r="C43" s="39" t="s">
        <v>65</v>
      </c>
      <c r="D43" s="40">
        <f>SUMIF($B$3:$B$30,$B43,$E$3:$E$30)*0.5</f>
        <v>0</v>
      </c>
      <c r="E43" s="49" t="s">
        <v>92</v>
      </c>
      <c r="G43" s="59" t="s">
        <v>96</v>
      </c>
      <c r="H43" s="60">
        <f>SUM(D41,D48,D55)</f>
        <v>0</v>
      </c>
    </row>
    <row r="44" spans="2:15" ht="16.5" thickBot="1" x14ac:dyDescent="0.45">
      <c r="B44" s="48" t="s">
        <v>74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D56</f>
        <v>0</v>
      </c>
    </row>
    <row r="45" spans="2:15" x14ac:dyDescent="0.4">
      <c r="B45" s="48" t="s">
        <v>75</v>
      </c>
      <c r="C45" s="39" t="str">
        <f t="shared" si="3"/>
        <v>Landfill</v>
      </c>
      <c r="D45" s="40">
        <f t="shared" si="4"/>
        <v>0</v>
      </c>
      <c r="E45" s="49" t="s">
        <v>92</v>
      </c>
    </row>
    <row r="46" spans="2:15" x14ac:dyDescent="0.4">
      <c r="B46" s="48" t="s">
        <v>76</v>
      </c>
      <c r="C46" s="39" t="str">
        <f t="shared" si="3"/>
        <v>Recycled/Reused</v>
      </c>
      <c r="D46" s="40">
        <f t="shared" si="4"/>
        <v>0</v>
      </c>
      <c r="E46" s="49" t="s">
        <v>92</v>
      </c>
    </row>
    <row r="47" spans="2:15" x14ac:dyDescent="0.4">
      <c r="B47" s="48" t="s">
        <v>77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78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79</v>
      </c>
      <c r="C49" s="39" t="str">
        <f t="shared" si="3"/>
        <v>Recycled/Reused</v>
      </c>
      <c r="D49" s="40">
        <f t="shared" si="4"/>
        <v>0</v>
      </c>
      <c r="E49" s="49" t="s">
        <v>92</v>
      </c>
    </row>
    <row r="50" spans="2:5" x14ac:dyDescent="0.4">
      <c r="B50" s="48" t="s">
        <v>80</v>
      </c>
      <c r="C50" s="39" t="str">
        <f t="shared" si="3"/>
        <v>Landfill</v>
      </c>
      <c r="D50" s="40">
        <f t="shared" si="4"/>
        <v>657</v>
      </c>
      <c r="E50" s="49" t="s">
        <v>92</v>
      </c>
    </row>
    <row r="51" spans="2:5" x14ac:dyDescent="0.4">
      <c r="B51" s="48" t="s">
        <v>81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82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83</v>
      </c>
      <c r="C53" s="39" t="s">
        <v>65</v>
      </c>
      <c r="D53" s="40">
        <f>SUMIF($B$3:$B$30,$B53,$E$3:$E$30)*0.3</f>
        <v>0</v>
      </c>
      <c r="E53" s="49" t="s">
        <v>92</v>
      </c>
    </row>
    <row r="54" spans="2:5" x14ac:dyDescent="0.4">
      <c r="B54" s="48" t="s">
        <v>83</v>
      </c>
      <c r="C54" s="39" t="str">
        <f t="shared" si="3"/>
        <v>Recycled/Reused</v>
      </c>
      <c r="D54" s="40">
        <f>SUMIF($B$3:$B$30,$B54,$E$3:$E$30)*0.7</f>
        <v>0</v>
      </c>
      <c r="E54" s="49" t="s">
        <v>92</v>
      </c>
    </row>
    <row r="55" spans="2:5" x14ac:dyDescent="0.4">
      <c r="B55" s="48" t="s">
        <v>84</v>
      </c>
      <c r="C55" s="39" t="str">
        <f t="shared" si="3"/>
        <v>Recycled/Reused</v>
      </c>
      <c r="D55" s="40">
        <f t="shared" si="4"/>
        <v>0</v>
      </c>
      <c r="E55" s="49" t="s">
        <v>92</v>
      </c>
    </row>
    <row r="56" spans="2:5" x14ac:dyDescent="0.4">
      <c r="B56" s="48" t="s">
        <v>85</v>
      </c>
      <c r="C56" s="39" t="str">
        <f t="shared" si="3"/>
        <v>Recycled/Reused</v>
      </c>
      <c r="D56" s="40">
        <f t="shared" si="4"/>
        <v>0</v>
      </c>
      <c r="E56" s="49" t="s">
        <v>92</v>
      </c>
    </row>
    <row r="57" spans="2:5" ht="18.5" thickBot="1" x14ac:dyDescent="0.45">
      <c r="B57" s="64" t="s">
        <v>87</v>
      </c>
      <c r="C57" s="65" t="str">
        <f t="shared" si="3"/>
        <v>Recycled/Reused</v>
      </c>
      <c r="D57" s="66">
        <f>SUMIF($B$3:$B$30,$B57,$E$3:$E$30)*1620</f>
        <v>0</v>
      </c>
      <c r="E57" s="67" t="s">
        <v>92</v>
      </c>
    </row>
    <row r="58" spans="2:5" ht="16.5" thickBot="1" x14ac:dyDescent="0.45">
      <c r="B58" s="192" t="s">
        <v>31</v>
      </c>
      <c r="C58" s="193"/>
      <c r="D58" s="194">
        <f>SUM(D33:D57)</f>
        <v>1095</v>
      </c>
      <c r="E58" s="195"/>
    </row>
  </sheetData>
  <mergeCells count="4">
    <mergeCell ref="C1:C2"/>
    <mergeCell ref="N4:T4"/>
    <mergeCell ref="B58:C58"/>
    <mergeCell ref="D58:E58"/>
  </mergeCells>
  <dataValidations count="1">
    <dataValidation type="list" allowBlank="1" showInputMessage="1" showErrorMessage="1" sqref="B2" xr:uid="{3DED35AD-99D0-4F4F-9F53-9A74CE1DA2F8}">
      <formula1>$L$2:$L$10</formula1>
    </dataValidation>
  </dataValidations>
  <hyperlinks>
    <hyperlink ref="P5" r:id="rId1" xr:uid="{EDCDC6C6-4D0C-4076-AB8C-05E48D5A40E9}"/>
  </hyperlinks>
  <pageMargins left="0.7" right="0.7" top="0.75" bottom="0.75" header="0.3" footer="0.3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D1B29-7579-44E0-AB40-6F38161ED8C4}">
  <sheetPr>
    <tabColor rgb="FF92D050"/>
  </sheetPr>
  <dimension ref="B1:T58"/>
  <sheetViews>
    <sheetView topLeftCell="D8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20" ht="20.25" customHeight="1" thickBot="1" x14ac:dyDescent="0.45">
      <c r="B1" s="7" t="s">
        <v>37</v>
      </c>
      <c r="C1" s="187" t="s">
        <v>38</v>
      </c>
      <c r="D1" s="76" t="s">
        <v>39</v>
      </c>
      <c r="E1" s="69"/>
    </row>
    <row r="2" spans="2:20" ht="29.5" thickBot="1" x14ac:dyDescent="0.45">
      <c r="B2" s="9" t="s">
        <v>14</v>
      </c>
      <c r="C2" s="188"/>
      <c r="D2" s="70" t="s">
        <v>28</v>
      </c>
      <c r="E2" s="11" t="s">
        <v>40</v>
      </c>
      <c r="L2" s="6" t="s">
        <v>15</v>
      </c>
    </row>
    <row r="3" spans="2:20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L3" s="6" t="s">
        <v>16</v>
      </c>
    </row>
    <row r="4" spans="2:20" ht="16.5" thickBot="1" x14ac:dyDescent="0.45">
      <c r="B4" s="15" t="s">
        <v>45</v>
      </c>
      <c r="C4" s="16" t="s">
        <v>65</v>
      </c>
      <c r="D4" s="71">
        <v>0</v>
      </c>
      <c r="E4" s="18">
        <f t="shared" si="0"/>
        <v>0</v>
      </c>
      <c r="I4" s="1" t="s">
        <v>42</v>
      </c>
      <c r="J4" s="1" t="s">
        <v>43</v>
      </c>
      <c r="L4" s="1" t="s">
        <v>109</v>
      </c>
      <c r="N4" s="189" t="s">
        <v>44</v>
      </c>
      <c r="O4" s="190"/>
      <c r="P4" s="190"/>
      <c r="Q4" s="190"/>
      <c r="R4" s="190"/>
      <c r="S4" s="190"/>
      <c r="T4" s="191"/>
    </row>
    <row r="5" spans="2:20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30</v>
      </c>
      <c r="G5" s="1" t="s">
        <v>47</v>
      </c>
      <c r="H5" s="88">
        <v>27</v>
      </c>
      <c r="I5" s="1">
        <f>$O$12*H5*F5*$M$5</f>
        <v>64.8</v>
      </c>
      <c r="J5" s="1">
        <f>$O$12*F5*H5*$M$6</f>
        <v>97.2</v>
      </c>
      <c r="L5" s="1" t="s">
        <v>110</v>
      </c>
      <c r="M5" s="82">
        <v>0.4</v>
      </c>
      <c r="N5" s="19" t="s">
        <v>48</v>
      </c>
      <c r="O5" s="20"/>
      <c r="P5" s="21" t="s">
        <v>49</v>
      </c>
      <c r="Q5" s="20"/>
      <c r="R5" s="20"/>
      <c r="S5" s="20"/>
      <c r="T5" s="22"/>
    </row>
    <row r="6" spans="2:20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31</v>
      </c>
      <c r="G6" s="1" t="s">
        <v>13</v>
      </c>
      <c r="H6" s="88">
        <v>27</v>
      </c>
      <c r="I6" s="1">
        <f t="shared" ref="I6:I16" si="1">$O$12*H6*F6*$M$5</f>
        <v>66.960000000000008</v>
      </c>
      <c r="J6" s="1">
        <f t="shared" ref="J6:J16" si="2">$O$12*F6*H6*$M$6</f>
        <v>100.44</v>
      </c>
      <c r="L6" s="1" t="s">
        <v>111</v>
      </c>
      <c r="M6" s="82">
        <v>0.6</v>
      </c>
      <c r="N6" s="25" t="s">
        <v>33</v>
      </c>
      <c r="O6" s="26"/>
      <c r="P6" s="26"/>
      <c r="Q6" s="26">
        <v>0.45</v>
      </c>
      <c r="R6" s="26"/>
      <c r="S6" s="26"/>
      <c r="T6" s="27" t="s">
        <v>51</v>
      </c>
    </row>
    <row r="7" spans="2:20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30</v>
      </c>
      <c r="G7" s="1" t="s">
        <v>53</v>
      </c>
      <c r="H7" s="88">
        <v>27</v>
      </c>
      <c r="I7" s="1">
        <f t="shared" si="1"/>
        <v>64.8</v>
      </c>
      <c r="J7" s="1">
        <f t="shared" si="2"/>
        <v>97.2</v>
      </c>
      <c r="L7" s="6" t="s">
        <v>19</v>
      </c>
      <c r="N7" s="25" t="s">
        <v>36</v>
      </c>
      <c r="O7" s="26"/>
      <c r="P7" s="26"/>
      <c r="Q7" s="26">
        <v>0.46</v>
      </c>
      <c r="R7" s="26"/>
      <c r="S7" s="26"/>
      <c r="T7" s="27" t="s">
        <v>51</v>
      </c>
    </row>
    <row r="8" spans="2:20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55</v>
      </c>
      <c r="H8" s="88">
        <v>27</v>
      </c>
      <c r="I8" s="1">
        <f t="shared" si="1"/>
        <v>66.960000000000008</v>
      </c>
      <c r="J8" s="1">
        <f t="shared" si="2"/>
        <v>100.44</v>
      </c>
      <c r="L8" s="6" t="s">
        <v>20</v>
      </c>
      <c r="N8" s="25" t="s">
        <v>32</v>
      </c>
      <c r="O8" s="26"/>
      <c r="P8" s="26"/>
      <c r="Q8" s="26">
        <v>0.62</v>
      </c>
      <c r="R8" s="26"/>
      <c r="S8" s="26"/>
      <c r="T8" s="27" t="s">
        <v>51</v>
      </c>
    </row>
    <row r="9" spans="2:20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31</v>
      </c>
      <c r="G9" s="1" t="s">
        <v>57</v>
      </c>
      <c r="H9" s="88">
        <v>27</v>
      </c>
      <c r="I9" s="1">
        <f t="shared" si="1"/>
        <v>66.960000000000008</v>
      </c>
      <c r="J9" s="1">
        <f t="shared" si="2"/>
        <v>100.44</v>
      </c>
      <c r="L9" s="6" t="s">
        <v>21</v>
      </c>
      <c r="N9" s="25" t="s">
        <v>35</v>
      </c>
      <c r="O9" s="26"/>
      <c r="P9" s="26"/>
      <c r="Q9" s="26">
        <v>0.39</v>
      </c>
      <c r="R9" s="26"/>
      <c r="S9" s="26"/>
      <c r="T9" s="27" t="s">
        <v>51</v>
      </c>
    </row>
    <row r="10" spans="2:20" ht="16.5" thickBot="1" x14ac:dyDescent="0.45">
      <c r="B10" s="12" t="s">
        <v>60</v>
      </c>
      <c r="C10" s="23"/>
      <c r="D10" s="38">
        <f>SUM(D11:D28)</f>
        <v>1971.0000000000002</v>
      </c>
      <c r="E10" s="24">
        <f t="shared" si="0"/>
        <v>1971.0000000000002</v>
      </c>
      <c r="F10" s="1">
        <v>30</v>
      </c>
      <c r="G10" s="1" t="s">
        <v>59</v>
      </c>
      <c r="H10" s="88">
        <v>27</v>
      </c>
      <c r="I10" s="1">
        <f t="shared" si="1"/>
        <v>64.8</v>
      </c>
      <c r="J10" s="1">
        <f t="shared" si="2"/>
        <v>97.2</v>
      </c>
      <c r="L10" s="6" t="s">
        <v>22</v>
      </c>
      <c r="N10" s="35" t="s">
        <v>34</v>
      </c>
      <c r="O10" s="36"/>
      <c r="P10" s="36"/>
      <c r="Q10" s="36">
        <v>0.56999999999999995</v>
      </c>
      <c r="R10" s="36"/>
      <c r="S10" s="36"/>
      <c r="T10" s="37" t="s">
        <v>51</v>
      </c>
    </row>
    <row r="11" spans="2:20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31</v>
      </c>
      <c r="G11" s="1" t="s">
        <v>61</v>
      </c>
      <c r="H11" s="88">
        <v>27</v>
      </c>
      <c r="I11" s="1">
        <f t="shared" si="1"/>
        <v>66.960000000000008</v>
      </c>
      <c r="J11" s="1">
        <f t="shared" si="2"/>
        <v>100.44</v>
      </c>
    </row>
    <row r="12" spans="2:20" x14ac:dyDescent="0.4">
      <c r="B12" s="39" t="s">
        <v>64</v>
      </c>
      <c r="C12" s="40" t="s">
        <v>65</v>
      </c>
      <c r="D12" s="41">
        <f>I17</f>
        <v>788.40000000000009</v>
      </c>
      <c r="E12" s="41">
        <f t="shared" si="0"/>
        <v>788.40000000000009</v>
      </c>
      <c r="F12" s="1">
        <v>30</v>
      </c>
      <c r="G12" s="1" t="s">
        <v>63</v>
      </c>
      <c r="H12" s="88">
        <v>27</v>
      </c>
      <c r="I12" s="1">
        <f t="shared" si="1"/>
        <v>64.8</v>
      </c>
      <c r="J12" s="1">
        <f t="shared" si="2"/>
        <v>97.2</v>
      </c>
      <c r="N12" s="86" t="s">
        <v>112</v>
      </c>
      <c r="O12" s="87">
        <v>0.2</v>
      </c>
      <c r="P12" s="86" t="s">
        <v>113</v>
      </c>
    </row>
    <row r="13" spans="2:20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66</v>
      </c>
      <c r="H13" s="88">
        <v>27</v>
      </c>
      <c r="I13" s="1">
        <f t="shared" si="1"/>
        <v>66.960000000000008</v>
      </c>
      <c r="J13" s="1">
        <f t="shared" si="2"/>
        <v>100.44</v>
      </c>
    </row>
    <row r="14" spans="2:20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31</v>
      </c>
      <c r="G14" s="1" t="s">
        <v>68</v>
      </c>
      <c r="H14" s="88">
        <v>27</v>
      </c>
      <c r="I14" s="1">
        <f t="shared" si="1"/>
        <v>66.960000000000008</v>
      </c>
      <c r="J14" s="1">
        <f t="shared" si="2"/>
        <v>100.44</v>
      </c>
    </row>
    <row r="15" spans="2:20" x14ac:dyDescent="0.4">
      <c r="B15" s="39" t="s">
        <v>71</v>
      </c>
      <c r="C15" s="28" t="s">
        <v>46</v>
      </c>
      <c r="D15" s="79">
        <v>0</v>
      </c>
      <c r="E15" s="41">
        <f t="shared" si="0"/>
        <v>0</v>
      </c>
      <c r="F15" s="1">
        <v>28</v>
      </c>
      <c r="G15" s="1" t="s">
        <v>70</v>
      </c>
      <c r="H15" s="88">
        <v>27</v>
      </c>
      <c r="I15" s="1">
        <f t="shared" si="1"/>
        <v>60.480000000000011</v>
      </c>
      <c r="J15" s="1">
        <f t="shared" si="2"/>
        <v>90.720000000000013</v>
      </c>
    </row>
    <row r="16" spans="2:20" x14ac:dyDescent="0.4">
      <c r="B16" s="39" t="s">
        <v>73</v>
      </c>
      <c r="C16" s="28" t="s">
        <v>46</v>
      </c>
      <c r="D16" s="74">
        <v>0</v>
      </c>
      <c r="E16" s="41">
        <f t="shared" si="0"/>
        <v>0</v>
      </c>
      <c r="F16" s="1">
        <v>31</v>
      </c>
      <c r="G16" s="1" t="s">
        <v>72</v>
      </c>
      <c r="H16" s="88">
        <v>27</v>
      </c>
      <c r="I16" s="1">
        <f t="shared" si="1"/>
        <v>66.960000000000008</v>
      </c>
      <c r="J16" s="1">
        <f t="shared" si="2"/>
        <v>100.44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  <c r="I17" s="1">
        <f>SUM(I5:I16)</f>
        <v>788.40000000000009</v>
      </c>
      <c r="J17" s="1">
        <f>SUM(J5:J16)</f>
        <v>1182.6000000000001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J17</f>
        <v>1182.6000000000001</v>
      </c>
      <c r="E23" s="41">
        <f t="shared" si="0"/>
        <v>1182.6000000000001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Landfill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7" si="3">VLOOKUP($B34,$B$4:$C$30,2,0)</f>
        <v>Recycled/Reused</v>
      </c>
      <c r="D34" s="40">
        <f t="shared" ref="D34:D56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/>
      <c r="D35" s="40">
        <f t="shared" si="4"/>
        <v>0</v>
      </c>
      <c r="E35" s="49" t="s">
        <v>93</v>
      </c>
      <c r="G35" s="50" t="s">
        <v>46</v>
      </c>
      <c r="H35" s="51">
        <f>SUMIFS($D$33:$D$57,$C$33:$C$57,$G35)</f>
        <v>0</v>
      </c>
    </row>
    <row r="36" spans="2:15" ht="16.5" thickBot="1" x14ac:dyDescent="0.45">
      <c r="B36" s="48" t="s">
        <v>58</v>
      </c>
      <c r="C36" s="39"/>
      <c r="D36" s="40">
        <f t="shared" si="4"/>
        <v>0</v>
      </c>
      <c r="E36" s="49" t="s">
        <v>93</v>
      </c>
      <c r="G36" s="52" t="s">
        <v>65</v>
      </c>
      <c r="H36" s="53">
        <f>SUMIFS($D$33:$D$57,$C$33:$C$57,$G36)</f>
        <v>1971.0000000000002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D58-SUM(D35:D36)</f>
        <v>1971.0000000000002</v>
      </c>
    </row>
    <row r="38" spans="2:15" ht="32.5" thickBot="1" x14ac:dyDescent="0.45">
      <c r="B38" s="48" t="s">
        <v>64</v>
      </c>
      <c r="C38" s="39" t="str">
        <f t="shared" si="3"/>
        <v>Landfill</v>
      </c>
      <c r="D38" s="40">
        <f t="shared" si="4"/>
        <v>788.40000000000009</v>
      </c>
      <c r="E38" s="49" t="s">
        <v>92</v>
      </c>
      <c r="G38" s="56" t="s">
        <v>94</v>
      </c>
      <c r="H38" s="75">
        <f>IF(ISERROR(H35/H37), "ZERO Waste Generated", (H35/H37))</f>
        <v>0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>SUMIF($B$3:$B$30,$B42,$E$3:$E$30)*0.5</f>
        <v>0</v>
      </c>
      <c r="E42" s="49" t="s">
        <v>92</v>
      </c>
      <c r="G42" s="58" t="s">
        <v>95</v>
      </c>
      <c r="H42" s="51">
        <f>D38*0.5</f>
        <v>394.20000000000005</v>
      </c>
    </row>
    <row r="43" spans="2:15" x14ac:dyDescent="0.4">
      <c r="B43" s="48" t="s">
        <v>73</v>
      </c>
      <c r="C43" s="39" t="s">
        <v>65</v>
      </c>
      <c r="D43" s="40">
        <f>SUMIF($B$3:$B$30,$B43,$E$3:$E$30)*0.5</f>
        <v>0</v>
      </c>
      <c r="E43" s="49" t="s">
        <v>92</v>
      </c>
      <c r="G43" s="59" t="s">
        <v>96</v>
      </c>
      <c r="H43" s="60">
        <f>SUM(D41,D48,D55)</f>
        <v>0</v>
      </c>
    </row>
    <row r="44" spans="2:15" ht="16.5" thickBot="1" x14ac:dyDescent="0.45">
      <c r="B44" s="48" t="s">
        <v>74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D56</f>
        <v>0</v>
      </c>
    </row>
    <row r="45" spans="2:15" x14ac:dyDescent="0.4">
      <c r="B45" s="48" t="s">
        <v>75</v>
      </c>
      <c r="C45" s="39" t="str">
        <f t="shared" si="3"/>
        <v>Landfill</v>
      </c>
      <c r="D45" s="40">
        <f t="shared" si="4"/>
        <v>0</v>
      </c>
      <c r="E45" s="49" t="s">
        <v>92</v>
      </c>
    </row>
    <row r="46" spans="2:15" x14ac:dyDescent="0.4">
      <c r="B46" s="48" t="s">
        <v>76</v>
      </c>
      <c r="C46" s="39" t="str">
        <f t="shared" si="3"/>
        <v>Recycled/Reused</v>
      </c>
      <c r="D46" s="40">
        <f t="shared" si="4"/>
        <v>0</v>
      </c>
      <c r="E46" s="49" t="s">
        <v>92</v>
      </c>
    </row>
    <row r="47" spans="2:15" x14ac:dyDescent="0.4">
      <c r="B47" s="48" t="s">
        <v>77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78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79</v>
      </c>
      <c r="C49" s="39" t="str">
        <f t="shared" si="3"/>
        <v>Recycled/Reused</v>
      </c>
      <c r="D49" s="40">
        <f t="shared" si="4"/>
        <v>0</v>
      </c>
      <c r="E49" s="49" t="s">
        <v>92</v>
      </c>
    </row>
    <row r="50" spans="2:5" x14ac:dyDescent="0.4">
      <c r="B50" s="48" t="s">
        <v>80</v>
      </c>
      <c r="C50" s="39" t="str">
        <f t="shared" si="3"/>
        <v>Landfill</v>
      </c>
      <c r="D50" s="40">
        <f t="shared" si="4"/>
        <v>1182.6000000000001</v>
      </c>
      <c r="E50" s="49" t="s">
        <v>92</v>
      </c>
    </row>
    <row r="51" spans="2:5" x14ac:dyDescent="0.4">
      <c r="B51" s="48" t="s">
        <v>81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82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83</v>
      </c>
      <c r="C53" s="39" t="s">
        <v>65</v>
      </c>
      <c r="D53" s="40">
        <f>SUMIF($B$3:$B$30,$B53,$E$3:$E$30)*0.3</f>
        <v>0</v>
      </c>
      <c r="E53" s="49" t="s">
        <v>92</v>
      </c>
    </row>
    <row r="54" spans="2:5" x14ac:dyDescent="0.4">
      <c r="B54" s="48" t="s">
        <v>83</v>
      </c>
      <c r="C54" s="39" t="str">
        <f t="shared" si="3"/>
        <v>Recycled/Reused</v>
      </c>
      <c r="D54" s="40">
        <f>SUMIF($B$3:$B$30,$B54,$E$3:$E$30)*0.7</f>
        <v>0</v>
      </c>
      <c r="E54" s="49" t="s">
        <v>92</v>
      </c>
    </row>
    <row r="55" spans="2:5" x14ac:dyDescent="0.4">
      <c r="B55" s="48" t="s">
        <v>84</v>
      </c>
      <c r="C55" s="39" t="str">
        <f t="shared" si="3"/>
        <v>Recycled/Reused</v>
      </c>
      <c r="D55" s="40">
        <f t="shared" si="4"/>
        <v>0</v>
      </c>
      <c r="E55" s="49" t="s">
        <v>92</v>
      </c>
    </row>
    <row r="56" spans="2:5" x14ac:dyDescent="0.4">
      <c r="B56" s="48" t="s">
        <v>85</v>
      </c>
      <c r="C56" s="39" t="str">
        <f t="shared" si="3"/>
        <v>Recycled/Reused</v>
      </c>
      <c r="D56" s="40">
        <f t="shared" si="4"/>
        <v>0</v>
      </c>
      <c r="E56" s="49" t="s">
        <v>92</v>
      </c>
    </row>
    <row r="57" spans="2:5" ht="18.5" thickBot="1" x14ac:dyDescent="0.45">
      <c r="B57" s="64" t="s">
        <v>87</v>
      </c>
      <c r="C57" s="65" t="str">
        <f t="shared" si="3"/>
        <v>Recycled/Reused</v>
      </c>
      <c r="D57" s="66">
        <f>SUMIF($B$3:$B$30,$B57,$E$3:$E$30)*1620</f>
        <v>0</v>
      </c>
      <c r="E57" s="67" t="s">
        <v>92</v>
      </c>
    </row>
    <row r="58" spans="2:5" ht="16.5" thickBot="1" x14ac:dyDescent="0.45">
      <c r="B58" s="192" t="s">
        <v>31</v>
      </c>
      <c r="C58" s="193"/>
      <c r="D58" s="194">
        <f>SUM(D33:D57)</f>
        <v>1971.0000000000002</v>
      </c>
      <c r="E58" s="195"/>
    </row>
  </sheetData>
  <mergeCells count="4">
    <mergeCell ref="C1:C2"/>
    <mergeCell ref="N4:T4"/>
    <mergeCell ref="B58:C58"/>
    <mergeCell ref="D58:E58"/>
  </mergeCells>
  <dataValidations count="1">
    <dataValidation type="list" allowBlank="1" showInputMessage="1" showErrorMessage="1" sqref="B2" xr:uid="{C311BD6D-7C83-48A9-9706-B73AB9C98369}">
      <formula1>$L$2:$L$10</formula1>
    </dataValidation>
  </dataValidations>
  <hyperlinks>
    <hyperlink ref="P5" r:id="rId1" xr:uid="{D7837D80-C583-4095-892A-F07C8612853A}"/>
  </hyperlinks>
  <pageMargins left="0.7" right="0.7" top="0.75" bottom="0.75" header="0.3" footer="0.3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84DD1-39C2-4B4A-A29C-9B02018ABC2D}">
  <sheetPr>
    <tabColor rgb="FF92D050"/>
  </sheetPr>
  <dimension ref="A1:V33"/>
  <sheetViews>
    <sheetView workbookViewId="0">
      <selection activeCell="B38" sqref="B38"/>
    </sheetView>
  </sheetViews>
  <sheetFormatPr defaultRowHeight="16" x14ac:dyDescent="0.4"/>
  <cols>
    <col min="1" max="2" width="8.7265625" style="1"/>
    <col min="3" max="3" width="28.6328125" style="1" bestFit="1" customWidth="1"/>
    <col min="4" max="16384" width="8.7265625" style="1"/>
  </cols>
  <sheetData>
    <row r="1" spans="1:22" x14ac:dyDescent="0.4">
      <c r="A1" s="197"/>
      <c r="B1" s="199" t="s">
        <v>161</v>
      </c>
      <c r="C1" s="201" t="s">
        <v>162</v>
      </c>
      <c r="D1" s="203" t="s">
        <v>14</v>
      </c>
      <c r="E1" s="203"/>
      <c r="F1" s="203"/>
      <c r="V1" s="6"/>
    </row>
    <row r="2" spans="1:22" ht="29" x14ac:dyDescent="0.4">
      <c r="A2" s="198"/>
      <c r="B2" s="200"/>
      <c r="C2" s="202"/>
      <c r="D2" s="132" t="s">
        <v>47</v>
      </c>
      <c r="E2" s="132" t="s">
        <v>13</v>
      </c>
      <c r="F2" s="132" t="s">
        <v>53</v>
      </c>
      <c r="G2" s="132" t="s">
        <v>55</v>
      </c>
      <c r="H2" s="132" t="s">
        <v>57</v>
      </c>
      <c r="I2" s="132" t="s">
        <v>59</v>
      </c>
      <c r="J2" s="132" t="s">
        <v>61</v>
      </c>
      <c r="K2" s="132" t="s">
        <v>63</v>
      </c>
      <c r="L2" s="132" t="s">
        <v>66</v>
      </c>
      <c r="M2" s="132" t="s">
        <v>68</v>
      </c>
      <c r="N2" s="132" t="s">
        <v>70</v>
      </c>
      <c r="O2" s="132" t="s">
        <v>72</v>
      </c>
      <c r="P2" s="132" t="s">
        <v>163</v>
      </c>
      <c r="Q2" s="132" t="s">
        <v>164</v>
      </c>
      <c r="V2" s="6"/>
    </row>
    <row r="3" spans="1:22" x14ac:dyDescent="0.4">
      <c r="A3" s="204" t="s">
        <v>165</v>
      </c>
      <c r="B3" s="205" t="s">
        <v>166</v>
      </c>
      <c r="C3" s="40" t="s">
        <v>167</v>
      </c>
      <c r="D3" s="133">
        <v>2070.1999999999998</v>
      </c>
      <c r="E3" s="40">
        <v>1893.7</v>
      </c>
      <c r="F3" s="40">
        <v>1373.4</v>
      </c>
      <c r="G3" s="133">
        <v>1654</v>
      </c>
      <c r="H3" s="40">
        <v>1615.4</v>
      </c>
      <c r="I3" s="133">
        <v>1984</v>
      </c>
      <c r="J3" s="133">
        <v>1877</v>
      </c>
      <c r="K3" s="133">
        <v>1831</v>
      </c>
      <c r="L3" s="133">
        <v>1987</v>
      </c>
      <c r="M3" s="40">
        <v>1944</v>
      </c>
      <c r="N3" s="134">
        <v>2461</v>
      </c>
      <c r="O3" s="134">
        <v>3050</v>
      </c>
      <c r="P3" s="87" t="s">
        <v>168</v>
      </c>
      <c r="Q3" s="87" t="s">
        <v>169</v>
      </c>
      <c r="V3" s="6"/>
    </row>
    <row r="4" spans="1:22" x14ac:dyDescent="0.4">
      <c r="A4" s="204"/>
      <c r="B4" s="205"/>
      <c r="C4" s="40" t="s">
        <v>170</v>
      </c>
      <c r="D4" s="133">
        <v>634</v>
      </c>
      <c r="E4" s="40">
        <v>672</v>
      </c>
      <c r="F4" s="40">
        <v>576</v>
      </c>
      <c r="G4" s="133">
        <v>671</v>
      </c>
      <c r="H4" s="40">
        <v>631</v>
      </c>
      <c r="I4" s="133">
        <v>781</v>
      </c>
      <c r="J4" s="133">
        <v>708</v>
      </c>
      <c r="K4" s="133">
        <v>732</v>
      </c>
      <c r="L4" s="133">
        <v>1441</v>
      </c>
      <c r="M4" s="40">
        <v>1241</v>
      </c>
      <c r="N4" s="134">
        <v>1516</v>
      </c>
      <c r="O4" s="134">
        <v>1850</v>
      </c>
      <c r="P4" s="87" t="s">
        <v>168</v>
      </c>
      <c r="Q4" s="87" t="s">
        <v>169</v>
      </c>
      <c r="V4" s="6" t="s">
        <v>15</v>
      </c>
    </row>
    <row r="5" spans="1:22" x14ac:dyDescent="0.4">
      <c r="A5" s="204"/>
      <c r="B5" s="205"/>
      <c r="C5" s="40" t="s">
        <v>171</v>
      </c>
      <c r="D5" s="133">
        <v>1571.4</v>
      </c>
      <c r="E5" s="40">
        <v>1538.3</v>
      </c>
      <c r="F5" s="40">
        <v>1151.4000000000001</v>
      </c>
      <c r="G5" s="133">
        <v>1385</v>
      </c>
      <c r="H5" s="40">
        <v>1318.6</v>
      </c>
      <c r="I5" s="133">
        <v>1651</v>
      </c>
      <c r="J5" s="133">
        <v>1683</v>
      </c>
      <c r="K5" s="133">
        <v>1568</v>
      </c>
      <c r="L5" s="133">
        <v>1759</v>
      </c>
      <c r="M5" s="40">
        <v>1702</v>
      </c>
      <c r="N5" s="134">
        <v>2025</v>
      </c>
      <c r="O5" s="134">
        <v>2500</v>
      </c>
      <c r="P5" s="87" t="s">
        <v>168</v>
      </c>
      <c r="Q5" s="87" t="s">
        <v>169</v>
      </c>
      <c r="V5" s="6" t="s">
        <v>16</v>
      </c>
    </row>
    <row r="6" spans="1:22" x14ac:dyDescent="0.4">
      <c r="A6" s="204"/>
      <c r="B6" s="205"/>
      <c r="C6" s="134" t="s">
        <v>172</v>
      </c>
      <c r="D6" s="133">
        <v>106.2</v>
      </c>
      <c r="E6" s="40">
        <v>108</v>
      </c>
      <c r="F6" s="40">
        <v>40.200000000000003</v>
      </c>
      <c r="G6" s="133">
        <v>39</v>
      </c>
      <c r="H6" s="40">
        <v>54</v>
      </c>
      <c r="I6" s="133">
        <v>59</v>
      </c>
      <c r="J6" s="133">
        <v>60</v>
      </c>
      <c r="K6" s="133">
        <v>53</v>
      </c>
      <c r="L6" s="133">
        <v>86</v>
      </c>
      <c r="M6" s="134">
        <v>85</v>
      </c>
      <c r="N6" s="134">
        <v>120</v>
      </c>
      <c r="O6" s="134">
        <v>405</v>
      </c>
      <c r="P6" s="87" t="s">
        <v>168</v>
      </c>
      <c r="Q6" s="87" t="s">
        <v>169</v>
      </c>
      <c r="V6" s="6" t="s">
        <v>17</v>
      </c>
    </row>
    <row r="7" spans="1:22" x14ac:dyDescent="0.4">
      <c r="A7" s="204"/>
      <c r="B7" s="205"/>
      <c r="C7" s="40" t="s">
        <v>173</v>
      </c>
      <c r="D7" s="133">
        <v>81.5</v>
      </c>
      <c r="E7" s="40">
        <v>78</v>
      </c>
      <c r="F7" s="40">
        <v>47</v>
      </c>
      <c r="G7" s="133">
        <v>148</v>
      </c>
      <c r="H7" s="40">
        <v>145</v>
      </c>
      <c r="I7" s="133">
        <v>166</v>
      </c>
      <c r="J7" s="133">
        <v>122</v>
      </c>
      <c r="K7" s="133">
        <v>88</v>
      </c>
      <c r="L7" s="133">
        <v>139</v>
      </c>
      <c r="M7" s="40">
        <v>122</v>
      </c>
      <c r="N7" s="134">
        <v>160</v>
      </c>
      <c r="O7" s="134">
        <v>1486</v>
      </c>
      <c r="P7" s="87" t="s">
        <v>168</v>
      </c>
      <c r="Q7" s="87" t="s">
        <v>169</v>
      </c>
      <c r="V7" s="6" t="s">
        <v>14</v>
      </c>
    </row>
    <row r="8" spans="1:22" x14ac:dyDescent="0.4">
      <c r="A8" s="204"/>
      <c r="B8" s="133" t="s">
        <v>174</v>
      </c>
      <c r="C8" s="40" t="s">
        <v>175</v>
      </c>
      <c r="D8" s="133">
        <v>1050</v>
      </c>
      <c r="E8" s="40">
        <v>1034.4000000000001</v>
      </c>
      <c r="F8" s="40">
        <v>807</v>
      </c>
      <c r="G8" s="133">
        <v>929</v>
      </c>
      <c r="H8" s="40">
        <v>854</v>
      </c>
      <c r="I8" s="133">
        <v>1048</v>
      </c>
      <c r="J8" s="133">
        <v>986</v>
      </c>
      <c r="K8" s="133">
        <v>1008</v>
      </c>
      <c r="L8" s="133">
        <v>1280</v>
      </c>
      <c r="M8" s="40">
        <v>1240</v>
      </c>
      <c r="N8" s="134">
        <v>1510</v>
      </c>
      <c r="O8" s="134">
        <v>2000</v>
      </c>
      <c r="P8" s="87" t="s">
        <v>168</v>
      </c>
      <c r="Q8" s="87" t="s">
        <v>169</v>
      </c>
      <c r="V8" s="6" t="s">
        <v>18</v>
      </c>
    </row>
    <row r="9" spans="1:22" x14ac:dyDescent="0.4">
      <c r="A9" s="204"/>
      <c r="B9" s="205" t="s">
        <v>96</v>
      </c>
      <c r="C9" s="40" t="s">
        <v>176</v>
      </c>
      <c r="D9" s="133">
        <v>1780</v>
      </c>
      <c r="E9" s="40">
        <v>1631.4</v>
      </c>
      <c r="F9" s="40">
        <v>1278</v>
      </c>
      <c r="G9" s="133">
        <v>1486</v>
      </c>
      <c r="H9" s="40">
        <v>1473</v>
      </c>
      <c r="I9" s="133">
        <v>1696</v>
      </c>
      <c r="J9" s="133">
        <v>1704</v>
      </c>
      <c r="K9" s="133">
        <v>1578</v>
      </c>
      <c r="L9" s="133">
        <v>1892</v>
      </c>
      <c r="M9" s="40">
        <v>1845</v>
      </c>
      <c r="N9" s="134">
        <v>2545</v>
      </c>
      <c r="O9" s="134">
        <v>2516</v>
      </c>
      <c r="P9" s="87" t="s">
        <v>168</v>
      </c>
      <c r="Q9" s="87" t="s">
        <v>169</v>
      </c>
      <c r="V9" s="6" t="s">
        <v>19</v>
      </c>
    </row>
    <row r="10" spans="1:22" x14ac:dyDescent="0.4">
      <c r="A10" s="204"/>
      <c r="B10" s="205"/>
      <c r="C10" s="40" t="s">
        <v>177</v>
      </c>
      <c r="D10" s="133">
        <v>1764</v>
      </c>
      <c r="E10" s="40">
        <v>1821.6</v>
      </c>
      <c r="F10" s="40">
        <v>1752</v>
      </c>
      <c r="G10" s="133">
        <v>1667</v>
      </c>
      <c r="H10" s="40">
        <v>1626</v>
      </c>
      <c r="I10" s="133">
        <v>1916</v>
      </c>
      <c r="J10" s="133">
        <v>2037</v>
      </c>
      <c r="K10" s="133">
        <v>1886</v>
      </c>
      <c r="L10" s="133">
        <v>1914</v>
      </c>
      <c r="M10" s="40">
        <v>1814</v>
      </c>
      <c r="N10" s="134">
        <v>2012</v>
      </c>
      <c r="O10" s="134">
        <v>3014</v>
      </c>
      <c r="P10" s="87" t="s">
        <v>168</v>
      </c>
      <c r="Q10" s="87" t="s">
        <v>169</v>
      </c>
      <c r="V10" s="6" t="s">
        <v>20</v>
      </c>
    </row>
    <row r="11" spans="1:22" x14ac:dyDescent="0.4">
      <c r="A11" s="204"/>
      <c r="B11" s="205"/>
      <c r="C11" s="40" t="s">
        <v>96</v>
      </c>
      <c r="D11" s="133">
        <v>2053.6</v>
      </c>
      <c r="E11" s="40">
        <v>1799.6</v>
      </c>
      <c r="F11" s="40">
        <v>1392</v>
      </c>
      <c r="G11" s="133">
        <v>1620</v>
      </c>
      <c r="H11" s="40">
        <v>1515</v>
      </c>
      <c r="I11" s="133">
        <v>1900</v>
      </c>
      <c r="J11" s="133">
        <v>1699</v>
      </c>
      <c r="K11" s="133">
        <v>1728</v>
      </c>
      <c r="L11" s="133">
        <v>1497</v>
      </c>
      <c r="M11" s="40">
        <v>1480</v>
      </c>
      <c r="N11" s="134">
        <v>1690</v>
      </c>
      <c r="O11" s="134">
        <v>2500</v>
      </c>
      <c r="P11" s="87" t="s">
        <v>168</v>
      </c>
      <c r="Q11" s="87" t="s">
        <v>169</v>
      </c>
      <c r="V11" s="6" t="s">
        <v>21</v>
      </c>
    </row>
    <row r="12" spans="1:22" x14ac:dyDescent="0.4">
      <c r="A12" s="204"/>
      <c r="B12" s="205"/>
      <c r="C12" s="40" t="s">
        <v>178</v>
      </c>
      <c r="D12" s="133">
        <v>1629.8</v>
      </c>
      <c r="E12" s="40">
        <v>1542</v>
      </c>
      <c r="F12" s="40">
        <v>1140</v>
      </c>
      <c r="G12" s="133">
        <v>1437</v>
      </c>
      <c r="H12" s="40">
        <v>1435</v>
      </c>
      <c r="I12" s="133">
        <v>1703</v>
      </c>
      <c r="J12" s="133">
        <v>1774</v>
      </c>
      <c r="K12" s="133">
        <v>1605</v>
      </c>
      <c r="L12" s="133">
        <v>1294</v>
      </c>
      <c r="M12" s="40">
        <v>1222</v>
      </c>
      <c r="N12" s="134">
        <v>2450</v>
      </c>
      <c r="O12" s="134">
        <v>1620</v>
      </c>
      <c r="P12" s="87" t="s">
        <v>168</v>
      </c>
      <c r="Q12" s="87" t="s">
        <v>169</v>
      </c>
      <c r="V12" s="6" t="s">
        <v>22</v>
      </c>
    </row>
    <row r="13" spans="1:22" x14ac:dyDescent="0.4">
      <c r="A13" s="40"/>
      <c r="B13" s="205" t="s">
        <v>179</v>
      </c>
      <c r="C13" s="85" t="s">
        <v>180</v>
      </c>
      <c r="D13" s="133">
        <v>4247.5</v>
      </c>
      <c r="E13" s="40">
        <v>4407.3</v>
      </c>
      <c r="F13" s="40">
        <v>3704</v>
      </c>
      <c r="G13" s="133">
        <v>4393</v>
      </c>
      <c r="H13" s="40">
        <v>3958</v>
      </c>
      <c r="I13" s="133">
        <v>5548</v>
      </c>
      <c r="J13" s="133">
        <v>4959</v>
      </c>
      <c r="K13" s="133">
        <v>4448</v>
      </c>
      <c r="L13" s="133">
        <v>4741</v>
      </c>
      <c r="M13" s="40">
        <v>3667</v>
      </c>
      <c r="N13" s="134">
        <v>3862</v>
      </c>
      <c r="O13" s="134">
        <v>4097</v>
      </c>
      <c r="P13" s="87" t="s">
        <v>181</v>
      </c>
      <c r="Q13" s="87" t="s">
        <v>182</v>
      </c>
      <c r="V13" s="6"/>
    </row>
    <row r="14" spans="1:22" x14ac:dyDescent="0.4">
      <c r="A14" s="40"/>
      <c r="B14" s="205"/>
      <c r="C14" s="5" t="s">
        <v>126</v>
      </c>
      <c r="D14" s="133">
        <v>6848</v>
      </c>
      <c r="E14" s="40">
        <v>6575</v>
      </c>
      <c r="F14" s="40">
        <v>9111</v>
      </c>
      <c r="G14" s="133">
        <v>11656</v>
      </c>
      <c r="H14" s="40">
        <v>12223</v>
      </c>
      <c r="I14" s="133">
        <v>11604</v>
      </c>
      <c r="J14" s="133">
        <v>10178</v>
      </c>
      <c r="K14" s="133">
        <v>8550</v>
      </c>
      <c r="L14" s="133">
        <v>8808</v>
      </c>
      <c r="M14" s="134">
        <v>9050</v>
      </c>
      <c r="N14" s="134">
        <v>7094</v>
      </c>
      <c r="O14" s="134">
        <v>8508</v>
      </c>
      <c r="P14" s="87" t="s">
        <v>181</v>
      </c>
      <c r="Q14" s="87" t="s">
        <v>182</v>
      </c>
    </row>
    <row r="15" spans="1:22" x14ac:dyDescent="0.4">
      <c r="A15" s="40"/>
      <c r="B15" s="205" t="s">
        <v>183</v>
      </c>
      <c r="C15" s="134" t="s">
        <v>184</v>
      </c>
      <c r="D15" s="133">
        <v>78.8</v>
      </c>
      <c r="E15" s="40">
        <v>49</v>
      </c>
      <c r="F15" s="40">
        <v>60</v>
      </c>
      <c r="G15" s="133">
        <v>112</v>
      </c>
      <c r="H15" s="40">
        <v>143</v>
      </c>
      <c r="I15" s="133">
        <v>155</v>
      </c>
      <c r="J15" s="133">
        <v>155</v>
      </c>
      <c r="K15" s="133">
        <v>109</v>
      </c>
      <c r="L15" s="133">
        <v>143</v>
      </c>
      <c r="M15" s="134">
        <v>139</v>
      </c>
      <c r="N15" s="134">
        <v>225</v>
      </c>
      <c r="O15" s="134">
        <v>350</v>
      </c>
      <c r="P15" s="87" t="s">
        <v>168</v>
      </c>
      <c r="Q15" s="87" t="s">
        <v>169</v>
      </c>
    </row>
    <row r="16" spans="1:22" x14ac:dyDescent="0.4">
      <c r="A16" s="40"/>
      <c r="B16" s="205"/>
      <c r="C16" s="40" t="s">
        <v>185</v>
      </c>
      <c r="D16" s="133">
        <v>60</v>
      </c>
      <c r="E16" s="40">
        <v>53</v>
      </c>
      <c r="F16" s="40">
        <v>41</v>
      </c>
      <c r="G16" s="133">
        <v>74</v>
      </c>
      <c r="H16" s="40">
        <v>55</v>
      </c>
      <c r="I16" s="133">
        <v>71</v>
      </c>
      <c r="J16" s="133">
        <v>49</v>
      </c>
      <c r="K16" s="133">
        <v>45</v>
      </c>
      <c r="L16" s="133">
        <v>98</v>
      </c>
      <c r="M16" s="40">
        <v>95</v>
      </c>
      <c r="N16" s="134">
        <v>150</v>
      </c>
      <c r="O16" s="134">
        <v>700</v>
      </c>
      <c r="P16" s="87" t="s">
        <v>168</v>
      </c>
      <c r="Q16" s="87" t="s">
        <v>169</v>
      </c>
    </row>
    <row r="17" spans="1:17" x14ac:dyDescent="0.4">
      <c r="A17" s="40"/>
      <c r="B17" s="133"/>
      <c r="C17" s="40" t="s">
        <v>186</v>
      </c>
      <c r="D17" s="133">
        <v>281</v>
      </c>
      <c r="E17" s="40">
        <v>347</v>
      </c>
      <c r="F17" s="40">
        <v>468</v>
      </c>
      <c r="G17" s="133">
        <v>563</v>
      </c>
      <c r="H17" s="40">
        <v>396</v>
      </c>
      <c r="I17" s="133">
        <v>447</v>
      </c>
      <c r="J17" s="133">
        <v>389</v>
      </c>
      <c r="K17" s="133">
        <v>299</v>
      </c>
      <c r="L17" s="133">
        <v>357</v>
      </c>
      <c r="M17" s="134">
        <v>324</v>
      </c>
      <c r="N17" s="134">
        <v>315</v>
      </c>
      <c r="O17" s="134">
        <v>340</v>
      </c>
      <c r="P17" s="87"/>
      <c r="Q17" s="87"/>
    </row>
    <row r="18" spans="1:17" x14ac:dyDescent="0.4">
      <c r="A18" s="206" t="s">
        <v>187</v>
      </c>
      <c r="B18" s="135"/>
      <c r="C18" s="40" t="s">
        <v>148</v>
      </c>
      <c r="D18" s="133">
        <v>0</v>
      </c>
      <c r="E18" s="40">
        <v>0</v>
      </c>
      <c r="F18" s="40">
        <v>0</v>
      </c>
      <c r="G18" s="133">
        <v>0</v>
      </c>
      <c r="H18" s="40">
        <v>0</v>
      </c>
      <c r="I18" s="133">
        <v>0</v>
      </c>
      <c r="J18" s="133">
        <v>0</v>
      </c>
      <c r="K18" s="133">
        <v>0</v>
      </c>
      <c r="L18" s="133">
        <v>0</v>
      </c>
      <c r="M18" s="134">
        <v>0</v>
      </c>
      <c r="N18" s="134">
        <v>0</v>
      </c>
      <c r="O18" s="134">
        <v>0</v>
      </c>
      <c r="P18" s="87"/>
      <c r="Q18" s="87"/>
    </row>
    <row r="19" spans="1:17" x14ac:dyDescent="0.4">
      <c r="A19" s="207"/>
      <c r="B19" s="135"/>
      <c r="C19" s="40" t="s">
        <v>188</v>
      </c>
      <c r="D19" s="133">
        <v>0</v>
      </c>
      <c r="E19" s="40">
        <v>0</v>
      </c>
      <c r="F19" s="40">
        <v>0</v>
      </c>
      <c r="G19" s="133">
        <v>0</v>
      </c>
      <c r="H19" s="40">
        <v>0</v>
      </c>
      <c r="I19" s="133">
        <v>0</v>
      </c>
      <c r="J19" s="133">
        <v>0</v>
      </c>
      <c r="K19" s="133">
        <v>0</v>
      </c>
      <c r="L19" s="133">
        <v>0</v>
      </c>
      <c r="M19" s="134">
        <v>0</v>
      </c>
      <c r="N19" s="134">
        <v>0</v>
      </c>
      <c r="O19" s="134">
        <v>0</v>
      </c>
      <c r="P19" s="87"/>
      <c r="Q19" s="87"/>
    </row>
    <row r="20" spans="1:17" x14ac:dyDescent="0.4">
      <c r="A20" s="207"/>
      <c r="B20" s="135"/>
      <c r="C20" s="40" t="s">
        <v>189</v>
      </c>
      <c r="D20" s="133">
        <v>0</v>
      </c>
      <c r="E20" s="40">
        <v>0</v>
      </c>
      <c r="F20" s="40">
        <v>0</v>
      </c>
      <c r="G20" s="133">
        <v>0</v>
      </c>
      <c r="H20" s="40">
        <v>0</v>
      </c>
      <c r="I20" s="133">
        <v>0</v>
      </c>
      <c r="J20" s="133">
        <v>0</v>
      </c>
      <c r="K20" s="133">
        <v>0</v>
      </c>
      <c r="L20" s="133">
        <v>0</v>
      </c>
      <c r="M20" s="134">
        <v>0</v>
      </c>
      <c r="N20" s="134">
        <v>0</v>
      </c>
      <c r="O20" s="134">
        <v>0</v>
      </c>
      <c r="P20" s="87"/>
      <c r="Q20" s="87"/>
    </row>
    <row r="21" spans="1:17" x14ac:dyDescent="0.4">
      <c r="A21" s="208"/>
      <c r="B21" s="135"/>
      <c r="C21" s="40" t="s">
        <v>190</v>
      </c>
      <c r="D21" s="133">
        <v>0</v>
      </c>
      <c r="E21" s="40">
        <v>0</v>
      </c>
      <c r="F21" s="40">
        <v>0</v>
      </c>
      <c r="G21" s="133">
        <v>0</v>
      </c>
      <c r="H21" s="40">
        <v>0</v>
      </c>
      <c r="I21" s="133">
        <v>0</v>
      </c>
      <c r="J21" s="133">
        <v>0</v>
      </c>
      <c r="K21" s="133">
        <v>0</v>
      </c>
      <c r="L21" s="133">
        <v>0</v>
      </c>
      <c r="M21" s="134">
        <v>0</v>
      </c>
      <c r="N21" s="134">
        <v>0</v>
      </c>
      <c r="O21" s="134">
        <v>0</v>
      </c>
      <c r="P21" s="87"/>
      <c r="Q21" s="87"/>
    </row>
    <row r="22" spans="1:17" x14ac:dyDescent="0.4">
      <c r="A22" s="209" t="s">
        <v>191</v>
      </c>
      <c r="B22" s="209"/>
      <c r="C22" s="209"/>
      <c r="D22" s="134">
        <f>SUM(D3:D21)</f>
        <v>24255.999999999996</v>
      </c>
      <c r="E22" s="134">
        <f t="shared" ref="E22:O22" si="0">SUM(E3:E21)</f>
        <v>23550.3</v>
      </c>
      <c r="F22" s="134">
        <f t="shared" si="0"/>
        <v>22941</v>
      </c>
      <c r="G22" s="134">
        <f t="shared" si="0"/>
        <v>27834</v>
      </c>
      <c r="H22" s="134">
        <f t="shared" si="0"/>
        <v>27442</v>
      </c>
      <c r="I22" s="134">
        <f t="shared" si="0"/>
        <v>30729</v>
      </c>
      <c r="J22" s="134">
        <f t="shared" si="0"/>
        <v>28380</v>
      </c>
      <c r="K22" s="134">
        <f t="shared" si="0"/>
        <v>25528</v>
      </c>
      <c r="L22" s="134">
        <f t="shared" si="0"/>
        <v>27436</v>
      </c>
      <c r="M22" s="134">
        <f t="shared" si="0"/>
        <v>25970</v>
      </c>
      <c r="N22" s="134">
        <f t="shared" si="0"/>
        <v>28135</v>
      </c>
      <c r="O22" s="134">
        <f t="shared" si="0"/>
        <v>34936</v>
      </c>
      <c r="P22" s="134"/>
      <c r="Q22" s="134"/>
    </row>
    <row r="23" spans="1:17" x14ac:dyDescent="0.4">
      <c r="A23" s="210" t="s">
        <v>192</v>
      </c>
      <c r="B23" s="210"/>
      <c r="C23" s="210"/>
      <c r="D23" s="134">
        <f>SUM(D3:D12,D15:D21)</f>
        <v>13160.499999999998</v>
      </c>
      <c r="E23" s="134">
        <f t="shared" ref="E23:O23" si="1">SUM(E3:E12,E15:E21)</f>
        <v>12568</v>
      </c>
      <c r="F23" s="134">
        <f t="shared" si="1"/>
        <v>10126</v>
      </c>
      <c r="G23" s="134">
        <f t="shared" si="1"/>
        <v>11785</v>
      </c>
      <c r="H23" s="134">
        <f t="shared" si="1"/>
        <v>11261</v>
      </c>
      <c r="I23" s="134">
        <f t="shared" si="1"/>
        <v>13577</v>
      </c>
      <c r="J23" s="134">
        <f t="shared" si="1"/>
        <v>13243</v>
      </c>
      <c r="K23" s="134">
        <f t="shared" si="1"/>
        <v>12530</v>
      </c>
      <c r="L23" s="134">
        <f t="shared" si="1"/>
        <v>13887</v>
      </c>
      <c r="M23" s="134">
        <f t="shared" si="1"/>
        <v>13253</v>
      </c>
      <c r="N23" s="134">
        <f t="shared" si="1"/>
        <v>17179</v>
      </c>
      <c r="O23" s="134">
        <f t="shared" si="1"/>
        <v>22331</v>
      </c>
      <c r="P23" s="134"/>
      <c r="Q23" s="134"/>
    </row>
    <row r="24" spans="1:17" ht="16.5" thickBot="1" x14ac:dyDescent="0.45">
      <c r="A24" s="196" t="s">
        <v>193</v>
      </c>
      <c r="B24" s="196"/>
      <c r="C24" s="196"/>
      <c r="D24" s="136">
        <f>D22-D23</f>
        <v>11095.499999999998</v>
      </c>
      <c r="E24" s="136">
        <f t="shared" ref="E24:O24" si="2">E22-E23</f>
        <v>10982.3</v>
      </c>
      <c r="F24" s="136">
        <f t="shared" si="2"/>
        <v>12815</v>
      </c>
      <c r="G24" s="136">
        <f t="shared" si="2"/>
        <v>16049</v>
      </c>
      <c r="H24" s="136">
        <f t="shared" si="2"/>
        <v>16181</v>
      </c>
      <c r="I24" s="136">
        <f t="shared" si="2"/>
        <v>17152</v>
      </c>
      <c r="J24" s="136">
        <f t="shared" si="2"/>
        <v>15137</v>
      </c>
      <c r="K24" s="136">
        <f t="shared" si="2"/>
        <v>12998</v>
      </c>
      <c r="L24" s="136">
        <f t="shared" si="2"/>
        <v>13549</v>
      </c>
      <c r="M24" s="136">
        <f t="shared" si="2"/>
        <v>12717</v>
      </c>
      <c r="N24" s="136">
        <f t="shared" si="2"/>
        <v>10956</v>
      </c>
      <c r="O24" s="136">
        <f t="shared" si="2"/>
        <v>12605</v>
      </c>
      <c r="P24" s="134"/>
      <c r="Q24" s="134"/>
    </row>
    <row r="25" spans="1:17" ht="16.5" thickBot="1" x14ac:dyDescent="0.45">
      <c r="A25" s="226" t="s">
        <v>194</v>
      </c>
      <c r="B25" s="227"/>
      <c r="C25" s="227"/>
      <c r="D25" s="211">
        <f>SUM(D22:O22)</f>
        <v>327137.3</v>
      </c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2"/>
      <c r="P25" s="87"/>
      <c r="Q25" s="87"/>
    </row>
    <row r="26" spans="1:17" ht="16.5" thickBot="1" x14ac:dyDescent="0.45">
      <c r="A26" s="213" t="s">
        <v>195</v>
      </c>
      <c r="B26" s="214"/>
      <c r="C26" s="214"/>
      <c r="D26" s="211">
        <f>SUM(D24:O24)</f>
        <v>162236.79999999999</v>
      </c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2"/>
      <c r="P26" s="87"/>
      <c r="Q26" s="87"/>
    </row>
    <row r="27" spans="1:17" ht="16.5" thickBot="1" x14ac:dyDescent="0.45">
      <c r="A27" s="215" t="s">
        <v>196</v>
      </c>
      <c r="B27" s="216"/>
      <c r="C27" s="216"/>
      <c r="D27" s="211">
        <f>SUM(D23:O23)</f>
        <v>164900.5</v>
      </c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2"/>
      <c r="P27" s="87"/>
      <c r="Q27" s="87"/>
    </row>
    <row r="28" spans="1:17" x14ac:dyDescent="0.4">
      <c r="A28" s="217" t="s">
        <v>197</v>
      </c>
      <c r="B28" s="218"/>
      <c r="C28" s="219"/>
      <c r="D28" s="137">
        <f>D13</f>
        <v>4247.5</v>
      </c>
      <c r="E28" s="137">
        <f t="shared" ref="E28:O29" si="3">E13</f>
        <v>4407.3</v>
      </c>
      <c r="F28" s="137">
        <f t="shared" si="3"/>
        <v>3704</v>
      </c>
      <c r="G28" s="137">
        <f t="shared" si="3"/>
        <v>4393</v>
      </c>
      <c r="H28" s="137">
        <f t="shared" si="3"/>
        <v>3958</v>
      </c>
      <c r="I28" s="137">
        <f t="shared" si="3"/>
        <v>5548</v>
      </c>
      <c r="J28" s="137">
        <f t="shared" si="3"/>
        <v>4959</v>
      </c>
      <c r="K28" s="137">
        <f t="shared" si="3"/>
        <v>4448</v>
      </c>
      <c r="L28" s="137">
        <f t="shared" si="3"/>
        <v>4741</v>
      </c>
      <c r="M28" s="137">
        <f t="shared" si="3"/>
        <v>3667</v>
      </c>
      <c r="N28" s="137">
        <f t="shared" si="3"/>
        <v>3862</v>
      </c>
      <c r="O28" s="137">
        <f t="shared" si="3"/>
        <v>4097</v>
      </c>
      <c r="P28" s="40"/>
      <c r="Q28" s="40"/>
    </row>
    <row r="29" spans="1:17" x14ac:dyDescent="0.4">
      <c r="A29" s="220" t="s">
        <v>198</v>
      </c>
      <c r="B29" s="221"/>
      <c r="C29" s="222"/>
      <c r="D29" s="137">
        <f>D14</f>
        <v>6848</v>
      </c>
      <c r="E29" s="137">
        <f t="shared" si="3"/>
        <v>6575</v>
      </c>
      <c r="F29" s="137">
        <f t="shared" si="3"/>
        <v>9111</v>
      </c>
      <c r="G29" s="137">
        <f t="shared" si="3"/>
        <v>11656</v>
      </c>
      <c r="H29" s="137">
        <f t="shared" si="3"/>
        <v>12223</v>
      </c>
      <c r="I29" s="137">
        <f t="shared" si="3"/>
        <v>11604</v>
      </c>
      <c r="J29" s="137">
        <f t="shared" si="3"/>
        <v>10178</v>
      </c>
      <c r="K29" s="137">
        <f t="shared" si="3"/>
        <v>8550</v>
      </c>
      <c r="L29" s="137">
        <f t="shared" si="3"/>
        <v>8808</v>
      </c>
      <c r="M29" s="137">
        <f t="shared" si="3"/>
        <v>9050</v>
      </c>
      <c r="N29" s="137">
        <f t="shared" si="3"/>
        <v>7094</v>
      </c>
      <c r="O29" s="137">
        <f t="shared" si="3"/>
        <v>8508</v>
      </c>
      <c r="P29" s="138"/>
      <c r="Q29" s="40"/>
    </row>
    <row r="30" spans="1:17" x14ac:dyDescent="0.4">
      <c r="A30" s="220" t="s">
        <v>199</v>
      </c>
      <c r="B30" s="221"/>
      <c r="C30" s="222"/>
      <c r="D30" s="138">
        <f>D8</f>
        <v>1050</v>
      </c>
      <c r="E30" s="138">
        <f t="shared" ref="E30:O30" si="4">E8</f>
        <v>1034.4000000000001</v>
      </c>
      <c r="F30" s="138">
        <f t="shared" si="4"/>
        <v>807</v>
      </c>
      <c r="G30" s="138">
        <f t="shared" si="4"/>
        <v>929</v>
      </c>
      <c r="H30" s="138">
        <f t="shared" si="4"/>
        <v>854</v>
      </c>
      <c r="I30" s="138">
        <f t="shared" si="4"/>
        <v>1048</v>
      </c>
      <c r="J30" s="138">
        <f t="shared" si="4"/>
        <v>986</v>
      </c>
      <c r="K30" s="138">
        <f t="shared" si="4"/>
        <v>1008</v>
      </c>
      <c r="L30" s="138">
        <f t="shared" si="4"/>
        <v>1280</v>
      </c>
      <c r="M30" s="138">
        <f t="shared" si="4"/>
        <v>1240</v>
      </c>
      <c r="N30" s="138">
        <f t="shared" si="4"/>
        <v>1510</v>
      </c>
      <c r="O30" s="138">
        <f t="shared" si="4"/>
        <v>2000</v>
      </c>
      <c r="P30" s="138"/>
      <c r="Q30" s="40"/>
    </row>
    <row r="31" spans="1:17" ht="16.5" thickBot="1" x14ac:dyDescent="0.45">
      <c r="A31" s="223" t="s">
        <v>200</v>
      </c>
      <c r="B31" s="224"/>
      <c r="C31" s="225"/>
      <c r="D31" s="139">
        <f t="shared" ref="D31:O31" si="5">D22-SUM(D28:D30)</f>
        <v>12110.499999999996</v>
      </c>
      <c r="E31" s="66">
        <f t="shared" si="5"/>
        <v>11533.6</v>
      </c>
      <c r="F31" s="66">
        <f t="shared" si="5"/>
        <v>9319</v>
      </c>
      <c r="G31" s="66">
        <f t="shared" si="5"/>
        <v>10856</v>
      </c>
      <c r="H31" s="66">
        <f t="shared" si="5"/>
        <v>10407</v>
      </c>
      <c r="I31" s="66">
        <f t="shared" si="5"/>
        <v>12529</v>
      </c>
      <c r="J31" s="66">
        <f t="shared" si="5"/>
        <v>12257</v>
      </c>
      <c r="K31" s="66">
        <f t="shared" si="5"/>
        <v>11522</v>
      </c>
      <c r="L31" s="66">
        <f t="shared" si="5"/>
        <v>12607</v>
      </c>
      <c r="M31" s="66">
        <f t="shared" si="5"/>
        <v>12013</v>
      </c>
      <c r="N31" s="66">
        <f t="shared" si="5"/>
        <v>15669</v>
      </c>
      <c r="O31" s="67">
        <f t="shared" si="5"/>
        <v>20331</v>
      </c>
      <c r="P31" s="138"/>
      <c r="Q31" s="40"/>
    </row>
    <row r="33" spans="4:4" x14ac:dyDescent="0.4">
      <c r="D33" s="1">
        <f>D26/D25</f>
        <v>0.49592877363724647</v>
      </c>
    </row>
  </sheetData>
  <mergeCells count="23">
    <mergeCell ref="A28:C28"/>
    <mergeCell ref="A29:C29"/>
    <mergeCell ref="A30:C30"/>
    <mergeCell ref="A31:C31"/>
    <mergeCell ref="A25:C25"/>
    <mergeCell ref="D25:O25"/>
    <mergeCell ref="A26:C26"/>
    <mergeCell ref="D26:O26"/>
    <mergeCell ref="A27:C27"/>
    <mergeCell ref="D27:O27"/>
    <mergeCell ref="A24:C24"/>
    <mergeCell ref="A1:A2"/>
    <mergeCell ref="B1:B2"/>
    <mergeCell ref="C1:C2"/>
    <mergeCell ref="D1:F1"/>
    <mergeCell ref="A3:A12"/>
    <mergeCell ref="B3:B7"/>
    <mergeCell ref="B9:B12"/>
    <mergeCell ref="B13:B14"/>
    <mergeCell ref="B15:B16"/>
    <mergeCell ref="A18:A21"/>
    <mergeCell ref="A22:C22"/>
    <mergeCell ref="A23:C23"/>
  </mergeCells>
  <dataValidations count="1">
    <dataValidation type="list" allowBlank="1" showInputMessage="1" showErrorMessage="1" sqref="D1:F1" xr:uid="{AB03F7E0-9365-4F65-8067-0F595ABD98B5}">
      <formula1>$V$4:$V$12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34CA7-6682-4147-B737-FD3C93445F2A}">
  <sheetPr>
    <tabColor rgb="FF92D050"/>
  </sheetPr>
  <dimension ref="B1:T58"/>
  <sheetViews>
    <sheetView topLeftCell="D5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20" ht="20.25" customHeight="1" thickBot="1" x14ac:dyDescent="0.45">
      <c r="B1" s="7" t="s">
        <v>37</v>
      </c>
      <c r="C1" s="187" t="s">
        <v>38</v>
      </c>
      <c r="D1" s="76" t="s">
        <v>39</v>
      </c>
      <c r="E1" s="69"/>
    </row>
    <row r="2" spans="2:20" ht="29.5" thickBot="1" x14ac:dyDescent="0.45">
      <c r="B2" s="9" t="s">
        <v>17</v>
      </c>
      <c r="C2" s="188"/>
      <c r="D2" s="70" t="s">
        <v>29</v>
      </c>
      <c r="E2" s="11" t="s">
        <v>40</v>
      </c>
      <c r="L2" s="6" t="s">
        <v>15</v>
      </c>
    </row>
    <row r="3" spans="2:20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L3" s="6" t="s">
        <v>16</v>
      </c>
    </row>
    <row r="4" spans="2:20" ht="16.5" thickBot="1" x14ac:dyDescent="0.45">
      <c r="B4" s="15" t="s">
        <v>45</v>
      </c>
      <c r="C4" s="16" t="s">
        <v>65</v>
      </c>
      <c r="D4" s="71">
        <v>0</v>
      </c>
      <c r="E4" s="18">
        <f t="shared" si="0"/>
        <v>0</v>
      </c>
      <c r="I4" s="1" t="s">
        <v>42</v>
      </c>
      <c r="J4" s="1" t="s">
        <v>43</v>
      </c>
      <c r="L4" s="1" t="s">
        <v>109</v>
      </c>
      <c r="N4" s="189" t="s">
        <v>44</v>
      </c>
      <c r="O4" s="190"/>
      <c r="P4" s="190"/>
      <c r="Q4" s="190"/>
      <c r="R4" s="190"/>
      <c r="S4" s="190"/>
      <c r="T4" s="191"/>
    </row>
    <row r="5" spans="2:20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30</v>
      </c>
      <c r="G5" s="1" t="s">
        <v>47</v>
      </c>
      <c r="H5" s="88">
        <v>5</v>
      </c>
      <c r="I5" s="1">
        <f t="shared" ref="I5:I16" si="1">$O$12*H5*F5*$M$5</f>
        <v>12</v>
      </c>
      <c r="J5" s="1">
        <f t="shared" ref="J5:J16" si="2">$O$12*F5*H5*$M$6</f>
        <v>18</v>
      </c>
      <c r="L5" s="1" t="s">
        <v>110</v>
      </c>
      <c r="M5" s="82">
        <v>0.4</v>
      </c>
      <c r="N5" s="19" t="s">
        <v>48</v>
      </c>
      <c r="O5" s="20"/>
      <c r="P5" s="21" t="s">
        <v>49</v>
      </c>
      <c r="Q5" s="20"/>
      <c r="R5" s="20"/>
      <c r="S5" s="20"/>
      <c r="T5" s="22"/>
    </row>
    <row r="6" spans="2:20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31</v>
      </c>
      <c r="G6" s="1" t="s">
        <v>13</v>
      </c>
      <c r="H6" s="88">
        <v>5</v>
      </c>
      <c r="I6" s="1">
        <f t="shared" si="1"/>
        <v>12.4</v>
      </c>
      <c r="J6" s="1">
        <f t="shared" si="2"/>
        <v>18.599999999999998</v>
      </c>
      <c r="L6" s="1" t="s">
        <v>111</v>
      </c>
      <c r="M6" s="82">
        <v>0.6</v>
      </c>
      <c r="N6" s="25" t="s">
        <v>33</v>
      </c>
      <c r="O6" s="26"/>
      <c r="P6" s="26"/>
      <c r="Q6" s="26">
        <v>0.45</v>
      </c>
      <c r="R6" s="26"/>
      <c r="S6" s="26"/>
      <c r="T6" s="27" t="s">
        <v>51</v>
      </c>
    </row>
    <row r="7" spans="2:20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30</v>
      </c>
      <c r="G7" s="1" t="s">
        <v>53</v>
      </c>
      <c r="H7" s="88">
        <v>5</v>
      </c>
      <c r="I7" s="1">
        <f t="shared" si="1"/>
        <v>12</v>
      </c>
      <c r="J7" s="1">
        <f t="shared" si="2"/>
        <v>18</v>
      </c>
      <c r="L7" s="6" t="s">
        <v>19</v>
      </c>
      <c r="N7" s="25" t="s">
        <v>36</v>
      </c>
      <c r="O7" s="26"/>
      <c r="P7" s="26"/>
      <c r="Q7" s="26">
        <v>0.46</v>
      </c>
      <c r="R7" s="26"/>
      <c r="S7" s="26"/>
      <c r="T7" s="27" t="s">
        <v>51</v>
      </c>
    </row>
    <row r="8" spans="2:20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55</v>
      </c>
      <c r="H8" s="88">
        <v>5</v>
      </c>
      <c r="I8" s="1">
        <f t="shared" si="1"/>
        <v>12.4</v>
      </c>
      <c r="J8" s="1">
        <f t="shared" si="2"/>
        <v>18.599999999999998</v>
      </c>
      <c r="L8" s="6" t="s">
        <v>20</v>
      </c>
      <c r="N8" s="25" t="s">
        <v>32</v>
      </c>
      <c r="O8" s="26"/>
      <c r="P8" s="26"/>
      <c r="Q8" s="26">
        <v>0.62</v>
      </c>
      <c r="R8" s="26"/>
      <c r="S8" s="26"/>
      <c r="T8" s="27" t="s">
        <v>51</v>
      </c>
    </row>
    <row r="9" spans="2:20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31</v>
      </c>
      <c r="G9" s="1" t="s">
        <v>57</v>
      </c>
      <c r="H9" s="88">
        <v>5</v>
      </c>
      <c r="I9" s="1">
        <f t="shared" si="1"/>
        <v>12.4</v>
      </c>
      <c r="J9" s="1">
        <f t="shared" si="2"/>
        <v>18.599999999999998</v>
      </c>
      <c r="L9" s="6" t="s">
        <v>21</v>
      </c>
      <c r="N9" s="25" t="s">
        <v>35</v>
      </c>
      <c r="O9" s="26"/>
      <c r="P9" s="26"/>
      <c r="Q9" s="26">
        <v>0.39</v>
      </c>
      <c r="R9" s="26"/>
      <c r="S9" s="26"/>
      <c r="T9" s="27" t="s">
        <v>51</v>
      </c>
    </row>
    <row r="10" spans="2:20" ht="16.5" thickBot="1" x14ac:dyDescent="0.45">
      <c r="B10" s="12" t="s">
        <v>60</v>
      </c>
      <c r="C10" s="23"/>
      <c r="D10" s="38">
        <f>SUM(D11:D28)</f>
        <v>365</v>
      </c>
      <c r="E10" s="24">
        <f t="shared" si="0"/>
        <v>365</v>
      </c>
      <c r="F10" s="1">
        <v>30</v>
      </c>
      <c r="G10" s="1" t="s">
        <v>59</v>
      </c>
      <c r="H10" s="88">
        <v>5</v>
      </c>
      <c r="I10" s="1">
        <f t="shared" si="1"/>
        <v>12</v>
      </c>
      <c r="J10" s="1">
        <f t="shared" si="2"/>
        <v>18</v>
      </c>
      <c r="L10" s="6" t="s">
        <v>22</v>
      </c>
      <c r="N10" s="35" t="s">
        <v>34</v>
      </c>
      <c r="O10" s="36"/>
      <c r="P10" s="36"/>
      <c r="Q10" s="36">
        <v>0.56999999999999995</v>
      </c>
      <c r="R10" s="36"/>
      <c r="S10" s="36"/>
      <c r="T10" s="37" t="s">
        <v>51</v>
      </c>
    </row>
    <row r="11" spans="2:20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31</v>
      </c>
      <c r="G11" s="1" t="s">
        <v>61</v>
      </c>
      <c r="H11" s="88">
        <v>5</v>
      </c>
      <c r="I11" s="1">
        <f t="shared" si="1"/>
        <v>12.4</v>
      </c>
      <c r="J11" s="1">
        <f t="shared" si="2"/>
        <v>18.599999999999998</v>
      </c>
    </row>
    <row r="12" spans="2:20" x14ac:dyDescent="0.4">
      <c r="B12" s="39" t="s">
        <v>64</v>
      </c>
      <c r="C12" s="40" t="s">
        <v>65</v>
      </c>
      <c r="D12" s="41">
        <f>I17</f>
        <v>146</v>
      </c>
      <c r="E12" s="41">
        <f t="shared" si="0"/>
        <v>146</v>
      </c>
      <c r="F12" s="1">
        <v>30</v>
      </c>
      <c r="G12" s="1" t="s">
        <v>63</v>
      </c>
      <c r="H12" s="88">
        <v>5</v>
      </c>
      <c r="I12" s="1">
        <f t="shared" si="1"/>
        <v>12</v>
      </c>
      <c r="J12" s="1">
        <f t="shared" si="2"/>
        <v>18</v>
      </c>
      <c r="N12" s="86" t="s">
        <v>112</v>
      </c>
      <c r="O12" s="87">
        <v>0.2</v>
      </c>
      <c r="P12" s="86" t="s">
        <v>113</v>
      </c>
    </row>
    <row r="13" spans="2:20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66</v>
      </c>
      <c r="H13" s="88">
        <v>5</v>
      </c>
      <c r="I13" s="1">
        <f t="shared" si="1"/>
        <v>12.4</v>
      </c>
      <c r="J13" s="1">
        <f t="shared" si="2"/>
        <v>18.599999999999998</v>
      </c>
    </row>
    <row r="14" spans="2:20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31</v>
      </c>
      <c r="G14" s="1" t="s">
        <v>68</v>
      </c>
      <c r="H14" s="88">
        <v>5</v>
      </c>
      <c r="I14" s="1">
        <f t="shared" si="1"/>
        <v>12.4</v>
      </c>
      <c r="J14" s="1">
        <f t="shared" si="2"/>
        <v>18.599999999999998</v>
      </c>
    </row>
    <row r="15" spans="2:20" x14ac:dyDescent="0.4">
      <c r="B15" s="39" t="s">
        <v>71</v>
      </c>
      <c r="C15" s="28" t="s">
        <v>46</v>
      </c>
      <c r="D15" s="79">
        <v>0</v>
      </c>
      <c r="E15" s="41">
        <f t="shared" si="0"/>
        <v>0</v>
      </c>
      <c r="F15" s="1">
        <v>28</v>
      </c>
      <c r="G15" s="1" t="s">
        <v>70</v>
      </c>
      <c r="H15" s="88">
        <v>5</v>
      </c>
      <c r="I15" s="1">
        <f t="shared" si="1"/>
        <v>11.200000000000001</v>
      </c>
      <c r="J15" s="1">
        <f t="shared" si="2"/>
        <v>16.8</v>
      </c>
    </row>
    <row r="16" spans="2:20" x14ac:dyDescent="0.4">
      <c r="B16" s="39" t="s">
        <v>73</v>
      </c>
      <c r="C16" s="28" t="s">
        <v>46</v>
      </c>
      <c r="D16" s="74">
        <v>0</v>
      </c>
      <c r="E16" s="41">
        <f t="shared" si="0"/>
        <v>0</v>
      </c>
      <c r="F16" s="1">
        <v>31</v>
      </c>
      <c r="G16" s="1" t="s">
        <v>72</v>
      </c>
      <c r="H16" s="88">
        <v>5</v>
      </c>
      <c r="I16" s="1">
        <f t="shared" si="1"/>
        <v>12.4</v>
      </c>
      <c r="J16" s="1">
        <f t="shared" si="2"/>
        <v>18.599999999999998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  <c r="I17" s="1">
        <f>SUM(I5:I16)</f>
        <v>146</v>
      </c>
      <c r="J17" s="1">
        <f>SUM(J5:J16)</f>
        <v>218.99999999999997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J17</f>
        <v>218.99999999999997</v>
      </c>
      <c r="E23" s="41">
        <f t="shared" si="0"/>
        <v>218.99999999999997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Landfill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7" si="3">VLOOKUP($B34,$B$4:$C$30,2,0)</f>
        <v>Recycled/Reused</v>
      </c>
      <c r="D34" s="40">
        <f t="shared" ref="D34:D56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/>
      <c r="D35" s="40">
        <f t="shared" si="4"/>
        <v>0</v>
      </c>
      <c r="E35" s="49" t="s">
        <v>93</v>
      </c>
      <c r="G35" s="50" t="s">
        <v>46</v>
      </c>
      <c r="H35" s="51">
        <f>SUMIFS($D$33:$D$57,$C$33:$C$57,$G35)</f>
        <v>0</v>
      </c>
    </row>
    <row r="36" spans="2:15" ht="16.5" thickBot="1" x14ac:dyDescent="0.45">
      <c r="B36" s="48" t="s">
        <v>58</v>
      </c>
      <c r="C36" s="39"/>
      <c r="D36" s="40">
        <f t="shared" si="4"/>
        <v>0</v>
      </c>
      <c r="E36" s="49" t="s">
        <v>93</v>
      </c>
      <c r="G36" s="52" t="s">
        <v>65</v>
      </c>
      <c r="H36" s="53">
        <f>SUMIFS($D$33:$D$57,$C$33:$C$57,$G36)</f>
        <v>365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D58-SUM(D35:D36)</f>
        <v>365</v>
      </c>
    </row>
    <row r="38" spans="2:15" ht="32.5" thickBot="1" x14ac:dyDescent="0.45">
      <c r="B38" s="48" t="s">
        <v>64</v>
      </c>
      <c r="C38" s="39" t="str">
        <f t="shared" si="3"/>
        <v>Landfill</v>
      </c>
      <c r="D38" s="40">
        <f t="shared" si="4"/>
        <v>146</v>
      </c>
      <c r="E38" s="49" t="s">
        <v>92</v>
      </c>
      <c r="G38" s="56" t="s">
        <v>94</v>
      </c>
      <c r="H38" s="75">
        <f>IF(ISERROR(H35/H37), "ZERO Waste Generated", (H35/H37))</f>
        <v>0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>SUMIF($B$3:$B$30,$B42,$E$3:$E$30)*0.5</f>
        <v>0</v>
      </c>
      <c r="E42" s="49" t="s">
        <v>92</v>
      </c>
      <c r="G42" s="58" t="s">
        <v>95</v>
      </c>
      <c r="H42" s="51">
        <f>D38*0.5</f>
        <v>73</v>
      </c>
    </row>
    <row r="43" spans="2:15" x14ac:dyDescent="0.4">
      <c r="B43" s="48" t="s">
        <v>73</v>
      </c>
      <c r="C43" s="39" t="s">
        <v>65</v>
      </c>
      <c r="D43" s="40">
        <f>SUMIF($B$3:$B$30,$B43,$E$3:$E$30)*0.5</f>
        <v>0</v>
      </c>
      <c r="E43" s="49" t="s">
        <v>92</v>
      </c>
      <c r="G43" s="59" t="s">
        <v>96</v>
      </c>
      <c r="H43" s="60">
        <f>SUM(D41,D48,D55)</f>
        <v>0</v>
      </c>
    </row>
    <row r="44" spans="2:15" ht="16.5" thickBot="1" x14ac:dyDescent="0.45">
      <c r="B44" s="48" t="s">
        <v>74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D56</f>
        <v>0</v>
      </c>
    </row>
    <row r="45" spans="2:15" x14ac:dyDescent="0.4">
      <c r="B45" s="48" t="s">
        <v>75</v>
      </c>
      <c r="C45" s="39" t="str">
        <f t="shared" si="3"/>
        <v>Landfill</v>
      </c>
      <c r="D45" s="40">
        <f t="shared" si="4"/>
        <v>0</v>
      </c>
      <c r="E45" s="49" t="s">
        <v>92</v>
      </c>
    </row>
    <row r="46" spans="2:15" x14ac:dyDescent="0.4">
      <c r="B46" s="48" t="s">
        <v>76</v>
      </c>
      <c r="C46" s="39" t="str">
        <f t="shared" si="3"/>
        <v>Recycled/Reused</v>
      </c>
      <c r="D46" s="40">
        <f t="shared" si="4"/>
        <v>0</v>
      </c>
      <c r="E46" s="49" t="s">
        <v>92</v>
      </c>
    </row>
    <row r="47" spans="2:15" x14ac:dyDescent="0.4">
      <c r="B47" s="48" t="s">
        <v>77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78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79</v>
      </c>
      <c r="C49" s="39" t="str">
        <f t="shared" si="3"/>
        <v>Recycled/Reused</v>
      </c>
      <c r="D49" s="40">
        <f t="shared" si="4"/>
        <v>0</v>
      </c>
      <c r="E49" s="49" t="s">
        <v>92</v>
      </c>
    </row>
    <row r="50" spans="2:5" x14ac:dyDescent="0.4">
      <c r="B50" s="48" t="s">
        <v>80</v>
      </c>
      <c r="C50" s="39" t="str">
        <f t="shared" si="3"/>
        <v>Landfill</v>
      </c>
      <c r="D50" s="40">
        <f t="shared" si="4"/>
        <v>218.99999999999997</v>
      </c>
      <c r="E50" s="49" t="s">
        <v>92</v>
      </c>
    </row>
    <row r="51" spans="2:5" x14ac:dyDescent="0.4">
      <c r="B51" s="48" t="s">
        <v>81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82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83</v>
      </c>
      <c r="C53" s="39" t="s">
        <v>65</v>
      </c>
      <c r="D53" s="40">
        <f>SUMIF($B$3:$B$30,$B53,$E$3:$E$30)*0.3</f>
        <v>0</v>
      </c>
      <c r="E53" s="49" t="s">
        <v>92</v>
      </c>
    </row>
    <row r="54" spans="2:5" x14ac:dyDescent="0.4">
      <c r="B54" s="48" t="s">
        <v>83</v>
      </c>
      <c r="C54" s="39" t="str">
        <f t="shared" si="3"/>
        <v>Recycled/Reused</v>
      </c>
      <c r="D54" s="40">
        <f>SUMIF($B$3:$B$30,$B54,$E$3:$E$30)*0.7</f>
        <v>0</v>
      </c>
      <c r="E54" s="49" t="s">
        <v>92</v>
      </c>
    </row>
    <row r="55" spans="2:5" x14ac:dyDescent="0.4">
      <c r="B55" s="48" t="s">
        <v>84</v>
      </c>
      <c r="C55" s="39" t="str">
        <f t="shared" si="3"/>
        <v>Recycled/Reused</v>
      </c>
      <c r="D55" s="40">
        <f t="shared" si="4"/>
        <v>0</v>
      </c>
      <c r="E55" s="49" t="s">
        <v>92</v>
      </c>
    </row>
    <row r="56" spans="2:5" x14ac:dyDescent="0.4">
      <c r="B56" s="48" t="s">
        <v>85</v>
      </c>
      <c r="C56" s="39" t="str">
        <f t="shared" si="3"/>
        <v>Recycled/Reused</v>
      </c>
      <c r="D56" s="40">
        <f t="shared" si="4"/>
        <v>0</v>
      </c>
      <c r="E56" s="49" t="s">
        <v>92</v>
      </c>
    </row>
    <row r="57" spans="2:5" ht="18.5" thickBot="1" x14ac:dyDescent="0.45">
      <c r="B57" s="64" t="s">
        <v>87</v>
      </c>
      <c r="C57" s="65" t="str">
        <f t="shared" si="3"/>
        <v>Recycled/Reused</v>
      </c>
      <c r="D57" s="66">
        <f>SUMIF($B$3:$B$30,$B57,$E$3:$E$30)*1620</f>
        <v>0</v>
      </c>
      <c r="E57" s="67" t="s">
        <v>92</v>
      </c>
    </row>
    <row r="58" spans="2:5" ht="16.5" thickBot="1" x14ac:dyDescent="0.45">
      <c r="B58" s="192" t="s">
        <v>31</v>
      </c>
      <c r="C58" s="193"/>
      <c r="D58" s="194">
        <f>SUM(D33:D57)</f>
        <v>365</v>
      </c>
      <c r="E58" s="195"/>
    </row>
  </sheetData>
  <mergeCells count="4">
    <mergeCell ref="C1:C2"/>
    <mergeCell ref="N4:T4"/>
    <mergeCell ref="B58:C58"/>
    <mergeCell ref="D58:E58"/>
  </mergeCells>
  <dataValidations count="1">
    <dataValidation type="list" allowBlank="1" showInputMessage="1" showErrorMessage="1" sqref="B2" xr:uid="{F3D433D3-4988-4062-B7B9-8AC4ED6FB473}">
      <formula1>$L$2:$L$10</formula1>
    </dataValidation>
  </dataValidations>
  <hyperlinks>
    <hyperlink ref="P5" r:id="rId1" xr:uid="{A4FA19B1-E312-48C9-B6CB-FC290B2913C5}"/>
  </hyperlinks>
  <pageMargins left="0.7" right="0.7" top="0.75" bottom="0.75" header="0.3" footer="0.3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18E8A-3E73-4181-9121-44D3E481654B}">
  <sheetPr>
    <tabColor rgb="FF92D050"/>
  </sheetPr>
  <dimension ref="B1:AC56"/>
  <sheetViews>
    <sheetView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21.81640625" style="1" bestFit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29" ht="20.25" customHeight="1" thickBot="1" x14ac:dyDescent="0.45">
      <c r="B1" s="7" t="s">
        <v>37</v>
      </c>
      <c r="C1" s="187" t="s">
        <v>38</v>
      </c>
      <c r="D1" s="8" t="s">
        <v>39</v>
      </c>
    </row>
    <row r="2" spans="2:29" ht="29.5" thickBot="1" x14ac:dyDescent="0.45">
      <c r="B2" s="9" t="s">
        <v>14</v>
      </c>
      <c r="C2" s="188"/>
      <c r="D2" s="10" t="s">
        <v>30</v>
      </c>
      <c r="E2" s="11" t="s">
        <v>40</v>
      </c>
      <c r="L2" s="6" t="s">
        <v>15</v>
      </c>
    </row>
    <row r="3" spans="2:29" ht="16.5" thickBot="1" x14ac:dyDescent="0.45">
      <c r="B3" s="12" t="s">
        <v>41</v>
      </c>
      <c r="C3" s="13"/>
      <c r="D3" s="13">
        <v>0</v>
      </c>
      <c r="E3" s="14">
        <f t="shared" ref="E3:E30" si="0">SUM(D3:D3)</f>
        <v>0</v>
      </c>
      <c r="L3" s="6" t="s">
        <v>16</v>
      </c>
      <c r="Q3" s="1" t="s">
        <v>42</v>
      </c>
      <c r="R3" s="1" t="s">
        <v>43</v>
      </c>
      <c r="W3" s="189" t="s">
        <v>44</v>
      </c>
      <c r="X3" s="190"/>
      <c r="Y3" s="190"/>
      <c r="Z3" s="190"/>
      <c r="AA3" s="190"/>
      <c r="AB3" s="190"/>
      <c r="AC3" s="191"/>
    </row>
    <row r="4" spans="2:29" ht="16.5" thickBot="1" x14ac:dyDescent="0.45">
      <c r="B4" s="15" t="s">
        <v>45</v>
      </c>
      <c r="C4" s="16" t="s">
        <v>46</v>
      </c>
      <c r="D4" s="17">
        <v>0</v>
      </c>
      <c r="E4" s="18">
        <f t="shared" si="0"/>
        <v>0</v>
      </c>
      <c r="L4" s="6" t="s">
        <v>17</v>
      </c>
      <c r="N4" s="1">
        <v>30</v>
      </c>
      <c r="O4" s="1" t="s">
        <v>47</v>
      </c>
      <c r="P4" s="1">
        <v>3000</v>
      </c>
      <c r="Q4" s="1">
        <f>0.62*P4*N4/2</f>
        <v>27900</v>
      </c>
      <c r="R4" s="1">
        <f>0.62*P4*N4/2</f>
        <v>27900</v>
      </c>
      <c r="W4" s="19" t="s">
        <v>48</v>
      </c>
      <c r="X4" s="20"/>
      <c r="Y4" s="21" t="s">
        <v>49</v>
      </c>
      <c r="Z4" s="20"/>
      <c r="AA4" s="20"/>
      <c r="AB4" s="20"/>
      <c r="AC4" s="22"/>
    </row>
    <row r="5" spans="2:29" ht="16.5" thickBot="1" x14ac:dyDescent="0.45">
      <c r="B5" s="12" t="s">
        <v>50</v>
      </c>
      <c r="C5" s="23"/>
      <c r="D5" s="13">
        <v>0</v>
      </c>
      <c r="E5" s="24">
        <f t="shared" si="0"/>
        <v>0</v>
      </c>
      <c r="L5" s="6" t="s">
        <v>14</v>
      </c>
      <c r="N5" s="1">
        <v>31</v>
      </c>
      <c r="O5" s="1" t="s">
        <v>13</v>
      </c>
      <c r="P5" s="1">
        <v>3000</v>
      </c>
      <c r="Q5" s="1">
        <f t="shared" ref="Q5:Q15" si="1">0.62*P5*N5/2</f>
        <v>28830</v>
      </c>
      <c r="R5" s="1">
        <f t="shared" ref="R5:R15" si="2">0.62*P5*N5/2</f>
        <v>28830</v>
      </c>
      <c r="W5" s="25" t="s">
        <v>33</v>
      </c>
      <c r="X5" s="26"/>
      <c r="Y5" s="26"/>
      <c r="Z5" s="26">
        <v>0.45</v>
      </c>
      <c r="AA5" s="26"/>
      <c r="AB5" s="26"/>
      <c r="AC5" s="27" t="s">
        <v>51</v>
      </c>
    </row>
    <row r="6" spans="2:29" ht="16.5" thickBot="1" x14ac:dyDescent="0.45">
      <c r="B6" s="15" t="s">
        <v>52</v>
      </c>
      <c r="C6" s="28" t="s">
        <v>46</v>
      </c>
      <c r="D6" s="17">
        <v>0</v>
      </c>
      <c r="E6" s="18">
        <f t="shared" si="0"/>
        <v>0</v>
      </c>
      <c r="L6" s="6" t="s">
        <v>18</v>
      </c>
      <c r="N6" s="1">
        <v>30</v>
      </c>
      <c r="O6" s="1" t="s">
        <v>53</v>
      </c>
      <c r="P6" s="1">
        <v>3000</v>
      </c>
      <c r="Q6" s="1">
        <f t="shared" si="1"/>
        <v>27900</v>
      </c>
      <c r="R6" s="1">
        <f t="shared" si="2"/>
        <v>27900</v>
      </c>
      <c r="W6" s="25" t="s">
        <v>36</v>
      </c>
      <c r="X6" s="26"/>
      <c r="Y6" s="26"/>
      <c r="Z6" s="26">
        <v>0.46</v>
      </c>
      <c r="AA6" s="26"/>
      <c r="AB6" s="26"/>
      <c r="AC6" s="27" t="s">
        <v>51</v>
      </c>
    </row>
    <row r="7" spans="2:29" ht="16.5" thickBot="1" x14ac:dyDescent="0.45">
      <c r="B7" s="12" t="s">
        <v>54</v>
      </c>
      <c r="C7" s="23"/>
      <c r="D7" s="13">
        <v>0</v>
      </c>
      <c r="E7" s="24">
        <f t="shared" si="0"/>
        <v>0</v>
      </c>
      <c r="L7" s="6" t="s">
        <v>19</v>
      </c>
      <c r="N7" s="1">
        <v>31</v>
      </c>
      <c r="O7" s="1" t="s">
        <v>55</v>
      </c>
      <c r="P7" s="1">
        <v>3000</v>
      </c>
      <c r="Q7" s="1">
        <f t="shared" si="1"/>
        <v>28830</v>
      </c>
      <c r="R7" s="1">
        <f t="shared" si="2"/>
        <v>28830</v>
      </c>
      <c r="W7" s="25" t="s">
        <v>32</v>
      </c>
      <c r="X7" s="26"/>
      <c r="Y7" s="26"/>
      <c r="Z7" s="26">
        <v>0.62</v>
      </c>
      <c r="AA7" s="26"/>
      <c r="AB7" s="26"/>
      <c r="AC7" s="27" t="s">
        <v>51</v>
      </c>
    </row>
    <row r="8" spans="2:29" x14ac:dyDescent="0.4">
      <c r="B8" s="29" t="s">
        <v>56</v>
      </c>
      <c r="C8" s="28" t="s">
        <v>46</v>
      </c>
      <c r="D8" s="30">
        <v>0</v>
      </c>
      <c r="E8" s="31">
        <f t="shared" si="0"/>
        <v>0</v>
      </c>
      <c r="L8" s="6" t="s">
        <v>20</v>
      </c>
      <c r="N8" s="1">
        <v>31</v>
      </c>
      <c r="O8" s="1" t="s">
        <v>57</v>
      </c>
      <c r="P8" s="1">
        <v>3000</v>
      </c>
      <c r="Q8" s="1">
        <f t="shared" si="1"/>
        <v>28830</v>
      </c>
      <c r="R8" s="1">
        <f t="shared" si="2"/>
        <v>28830</v>
      </c>
      <c r="W8" s="25" t="s">
        <v>35</v>
      </c>
      <c r="X8" s="26"/>
      <c r="Y8" s="26"/>
      <c r="Z8" s="26">
        <v>0.39</v>
      </c>
      <c r="AA8" s="26"/>
      <c r="AB8" s="26"/>
      <c r="AC8" s="27" t="s">
        <v>51</v>
      </c>
    </row>
    <row r="9" spans="2:29" ht="16.5" thickBot="1" x14ac:dyDescent="0.45">
      <c r="B9" s="32" t="s">
        <v>58</v>
      </c>
      <c r="C9" s="28" t="s">
        <v>46</v>
      </c>
      <c r="D9" s="33">
        <v>0</v>
      </c>
      <c r="E9" s="34">
        <f t="shared" si="0"/>
        <v>0</v>
      </c>
      <c r="L9" s="6" t="s">
        <v>21</v>
      </c>
      <c r="N9" s="1">
        <v>30</v>
      </c>
      <c r="O9" s="1" t="s">
        <v>59</v>
      </c>
      <c r="P9" s="1">
        <v>3000</v>
      </c>
      <c r="Q9" s="1">
        <f t="shared" si="1"/>
        <v>27900</v>
      </c>
      <c r="R9" s="1">
        <f t="shared" si="2"/>
        <v>27900</v>
      </c>
      <c r="W9" s="35" t="s">
        <v>34</v>
      </c>
      <c r="X9" s="36"/>
      <c r="Y9" s="36"/>
      <c r="Z9" s="36">
        <v>0.56999999999999995</v>
      </c>
      <c r="AA9" s="36"/>
      <c r="AB9" s="36"/>
      <c r="AC9" s="37" t="s">
        <v>51</v>
      </c>
    </row>
    <row r="10" spans="2:29" ht="16.5" thickBot="1" x14ac:dyDescent="0.45">
      <c r="B10" s="12" t="s">
        <v>60</v>
      </c>
      <c r="C10" s="23"/>
      <c r="D10" s="38">
        <v>94.49</v>
      </c>
      <c r="E10" s="24">
        <f t="shared" si="0"/>
        <v>94.49</v>
      </c>
      <c r="L10" s="6" t="s">
        <v>22</v>
      </c>
      <c r="N10" s="1">
        <v>31</v>
      </c>
      <c r="O10" s="1" t="s">
        <v>61</v>
      </c>
      <c r="P10" s="1">
        <v>3000</v>
      </c>
      <c r="Q10" s="1">
        <f t="shared" si="1"/>
        <v>28830</v>
      </c>
      <c r="R10" s="1">
        <f t="shared" si="2"/>
        <v>28830</v>
      </c>
    </row>
    <row r="11" spans="2:29" x14ac:dyDescent="0.4">
      <c r="B11" s="29" t="s">
        <v>62</v>
      </c>
      <c r="C11" s="28" t="s">
        <v>46</v>
      </c>
      <c r="D11" s="30">
        <v>0</v>
      </c>
      <c r="E11" s="31">
        <f t="shared" si="0"/>
        <v>0</v>
      </c>
      <c r="N11" s="1">
        <v>30</v>
      </c>
      <c r="O11" s="1" t="s">
        <v>63</v>
      </c>
      <c r="P11" s="1">
        <v>3000</v>
      </c>
      <c r="Q11" s="1">
        <f t="shared" si="1"/>
        <v>27900</v>
      </c>
      <c r="R11" s="1">
        <f t="shared" si="2"/>
        <v>27900</v>
      </c>
    </row>
    <row r="12" spans="2:29" x14ac:dyDescent="0.4">
      <c r="B12" s="39" t="s">
        <v>64</v>
      </c>
      <c r="C12" s="40" t="s">
        <v>65</v>
      </c>
      <c r="D12" s="41">
        <v>94.49</v>
      </c>
      <c r="E12" s="41">
        <f t="shared" si="0"/>
        <v>94.49</v>
      </c>
      <c r="N12" s="1">
        <v>31</v>
      </c>
      <c r="O12" s="1" t="s">
        <v>66</v>
      </c>
      <c r="P12" s="1">
        <v>3000</v>
      </c>
      <c r="Q12" s="1">
        <f t="shared" si="1"/>
        <v>28830</v>
      </c>
      <c r="R12" s="1">
        <f t="shared" si="2"/>
        <v>28830</v>
      </c>
    </row>
    <row r="13" spans="2:29" x14ac:dyDescent="0.4">
      <c r="B13" s="39" t="s">
        <v>67</v>
      </c>
      <c r="C13" s="40" t="s">
        <v>65</v>
      </c>
      <c r="D13" s="42">
        <v>0</v>
      </c>
      <c r="E13" s="41">
        <f t="shared" si="0"/>
        <v>0</v>
      </c>
      <c r="N13" s="1">
        <v>31</v>
      </c>
      <c r="O13" s="1" t="s">
        <v>68</v>
      </c>
      <c r="P13" s="1">
        <v>3000</v>
      </c>
      <c r="Q13" s="1">
        <f t="shared" si="1"/>
        <v>28830</v>
      </c>
      <c r="R13" s="1">
        <f t="shared" si="2"/>
        <v>28830</v>
      </c>
    </row>
    <row r="14" spans="2:29" x14ac:dyDescent="0.4">
      <c r="B14" s="39" t="s">
        <v>69</v>
      </c>
      <c r="C14" s="28" t="s">
        <v>46</v>
      </c>
      <c r="D14" s="42">
        <v>0</v>
      </c>
      <c r="E14" s="41">
        <f t="shared" si="0"/>
        <v>0</v>
      </c>
      <c r="N14" s="1">
        <v>28</v>
      </c>
      <c r="O14" s="1" t="s">
        <v>70</v>
      </c>
      <c r="P14" s="1">
        <v>3000</v>
      </c>
      <c r="Q14" s="1">
        <f t="shared" si="1"/>
        <v>26040</v>
      </c>
      <c r="R14" s="1">
        <f t="shared" si="2"/>
        <v>26040</v>
      </c>
    </row>
    <row r="15" spans="2:29" x14ac:dyDescent="0.4">
      <c r="B15" s="39" t="s">
        <v>71</v>
      </c>
      <c r="C15" s="28" t="s">
        <v>46</v>
      </c>
      <c r="D15" s="42">
        <v>0</v>
      </c>
      <c r="E15" s="41">
        <f t="shared" si="0"/>
        <v>0</v>
      </c>
      <c r="N15" s="1">
        <v>31</v>
      </c>
      <c r="O15" s="1" t="s">
        <v>72</v>
      </c>
      <c r="P15" s="1">
        <v>3000</v>
      </c>
      <c r="Q15" s="1">
        <f t="shared" si="1"/>
        <v>28830</v>
      </c>
      <c r="R15" s="1">
        <f t="shared" si="2"/>
        <v>28830</v>
      </c>
    </row>
    <row r="16" spans="2:29" x14ac:dyDescent="0.4">
      <c r="B16" s="39" t="s">
        <v>73</v>
      </c>
      <c r="C16" s="28" t="s">
        <v>46</v>
      </c>
      <c r="D16" s="42">
        <v>0</v>
      </c>
      <c r="E16" s="41">
        <f t="shared" si="0"/>
        <v>0</v>
      </c>
      <c r="Q16" s="1">
        <f>SUM(Q4:Q15)</f>
        <v>339450</v>
      </c>
      <c r="R16" s="1">
        <f>SUM(R4:R15)</f>
        <v>339450</v>
      </c>
    </row>
    <row r="17" spans="2:15" x14ac:dyDescent="0.4">
      <c r="B17" s="39" t="s">
        <v>74</v>
      </c>
      <c r="C17" s="40" t="s">
        <v>65</v>
      </c>
      <c r="D17" s="42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42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42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42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65</v>
      </c>
      <c r="D21" s="42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42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46</v>
      </c>
      <c r="D23" s="42">
        <v>0</v>
      </c>
      <c r="E23" s="41">
        <f t="shared" si="0"/>
        <v>0</v>
      </c>
    </row>
    <row r="24" spans="2:15" x14ac:dyDescent="0.4">
      <c r="B24" s="39" t="s">
        <v>81</v>
      </c>
      <c r="C24" s="28" t="s">
        <v>46</v>
      </c>
      <c r="D24" s="42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42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42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65</v>
      </c>
      <c r="D27" s="42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3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13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30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Recycled/Reused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5" si="3">VLOOKUP($B34,$B$4:$C$30,2,0)</f>
        <v>Recycled/Reused</v>
      </c>
      <c r="D34" s="40">
        <f t="shared" ref="D34:D54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 t="str">
        <f t="shared" si="3"/>
        <v>Recycled/Reused</v>
      </c>
      <c r="D35" s="40">
        <f t="shared" si="4"/>
        <v>0</v>
      </c>
      <c r="E35" s="49" t="s">
        <v>93</v>
      </c>
      <c r="G35" s="50" t="s">
        <v>46</v>
      </c>
      <c r="H35" s="51">
        <f>SUMIFS($D$33:$D$55,$C$33:$C$55,$G35)</f>
        <v>94.49</v>
      </c>
    </row>
    <row r="36" spans="2:15" ht="16.5" thickBot="1" x14ac:dyDescent="0.45">
      <c r="B36" s="48" t="s">
        <v>58</v>
      </c>
      <c r="C36" s="39" t="str">
        <f t="shared" si="3"/>
        <v>Recycled/Reused</v>
      </c>
      <c r="D36" s="40">
        <f t="shared" si="4"/>
        <v>0</v>
      </c>
      <c r="E36" s="49" t="s">
        <v>93</v>
      </c>
      <c r="G36" s="52" t="s">
        <v>65</v>
      </c>
      <c r="H36" s="53">
        <f>SUMIFS($D$33:$D$55,$C$33:$C$55,$G36)</f>
        <v>0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D56-SUM(D35:D36)</f>
        <v>94.49</v>
      </c>
    </row>
    <row r="38" spans="2:15" ht="32.5" thickBot="1" x14ac:dyDescent="0.45">
      <c r="B38" s="48" t="s">
        <v>64</v>
      </c>
      <c r="C38" s="39" t="s">
        <v>46</v>
      </c>
      <c r="D38" s="40">
        <f>SUMIF($B$3:$B$30,$B38,$E$3:$E$30)</f>
        <v>94.49</v>
      </c>
      <c r="E38" s="49" t="s">
        <v>92</v>
      </c>
      <c r="G38" s="56" t="s">
        <v>94</v>
      </c>
      <c r="H38" s="57">
        <f>IF(ISERROR(H35/H37), "ZERO Waste Reported", (H35/H37))</f>
        <v>1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 t="shared" si="4"/>
        <v>0</v>
      </c>
      <c r="E42" s="49" t="s">
        <v>92</v>
      </c>
      <c r="G42" s="58" t="s">
        <v>95</v>
      </c>
      <c r="H42" s="51">
        <f>D38*0.5</f>
        <v>47.244999999999997</v>
      </c>
    </row>
    <row r="43" spans="2:15" x14ac:dyDescent="0.4">
      <c r="B43" s="48" t="s">
        <v>74</v>
      </c>
      <c r="C43" s="39" t="str">
        <f t="shared" si="3"/>
        <v>Landfill</v>
      </c>
      <c r="D43" s="40">
        <f t="shared" si="4"/>
        <v>0</v>
      </c>
      <c r="E43" s="49" t="s">
        <v>92</v>
      </c>
      <c r="G43" s="59" t="s">
        <v>96</v>
      </c>
      <c r="H43" s="60">
        <f>SUM(D41,D47,D53)</f>
        <v>0</v>
      </c>
    </row>
    <row r="44" spans="2:15" ht="16.5" thickBot="1" x14ac:dyDescent="0.45">
      <c r="B44" s="48" t="s">
        <v>75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D54</f>
        <v>0</v>
      </c>
    </row>
    <row r="45" spans="2:15" x14ac:dyDescent="0.4">
      <c r="B45" s="48" t="s">
        <v>76</v>
      </c>
      <c r="C45" s="39" t="str">
        <f t="shared" si="3"/>
        <v>Recycled/Reused</v>
      </c>
      <c r="D45" s="40">
        <f t="shared" si="4"/>
        <v>0</v>
      </c>
      <c r="E45" s="49" t="s">
        <v>92</v>
      </c>
    </row>
    <row r="46" spans="2:15" x14ac:dyDescent="0.4">
      <c r="B46" s="48" t="s">
        <v>77</v>
      </c>
      <c r="C46" s="39" t="str">
        <f t="shared" si="3"/>
        <v>Landfill</v>
      </c>
      <c r="D46" s="40">
        <f t="shared" si="4"/>
        <v>0</v>
      </c>
      <c r="E46" s="49" t="s">
        <v>92</v>
      </c>
    </row>
    <row r="47" spans="2:15" x14ac:dyDescent="0.4">
      <c r="B47" s="48" t="s">
        <v>78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79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80</v>
      </c>
      <c r="C49" s="39" t="s">
        <v>65</v>
      </c>
      <c r="D49" s="40">
        <f t="shared" si="4"/>
        <v>0</v>
      </c>
      <c r="E49" s="49" t="s">
        <v>92</v>
      </c>
    </row>
    <row r="50" spans="2:5" x14ac:dyDescent="0.4">
      <c r="B50" s="48" t="s">
        <v>81</v>
      </c>
      <c r="C50" s="39" t="str">
        <f t="shared" si="3"/>
        <v>Recycled/Reused</v>
      </c>
      <c r="D50" s="40">
        <f t="shared" si="4"/>
        <v>0</v>
      </c>
      <c r="E50" s="49" t="s">
        <v>92</v>
      </c>
    </row>
    <row r="51" spans="2:5" x14ac:dyDescent="0.4">
      <c r="B51" s="48" t="s">
        <v>82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83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84</v>
      </c>
      <c r="C53" s="39" t="str">
        <f t="shared" si="3"/>
        <v>Landfill</v>
      </c>
      <c r="D53" s="40">
        <f t="shared" si="4"/>
        <v>0</v>
      </c>
      <c r="E53" s="49" t="s">
        <v>92</v>
      </c>
    </row>
    <row r="54" spans="2:5" x14ac:dyDescent="0.4">
      <c r="B54" s="48" t="s">
        <v>85</v>
      </c>
      <c r="C54" s="39" t="str">
        <f t="shared" si="3"/>
        <v>Recycled/Reused</v>
      </c>
      <c r="D54" s="40">
        <f t="shared" si="4"/>
        <v>0</v>
      </c>
      <c r="E54" s="49" t="s">
        <v>92</v>
      </c>
    </row>
    <row r="55" spans="2:5" ht="18.5" thickBot="1" x14ac:dyDescent="0.45">
      <c r="B55" s="64" t="s">
        <v>87</v>
      </c>
      <c r="C55" s="65" t="str">
        <f t="shared" si="3"/>
        <v>Recycled/Reused</v>
      </c>
      <c r="D55" s="66">
        <f>SUMIF($B$3:$B$30,$B55,$E$3:$E$30)*1620</f>
        <v>0</v>
      </c>
      <c r="E55" s="67" t="s">
        <v>92</v>
      </c>
    </row>
    <row r="56" spans="2:5" ht="16.5" thickBot="1" x14ac:dyDescent="0.45">
      <c r="B56" s="192" t="s">
        <v>31</v>
      </c>
      <c r="C56" s="193"/>
      <c r="D56" s="194">
        <f>SUM(D33:D55)</f>
        <v>94.49</v>
      </c>
      <c r="E56" s="195"/>
    </row>
  </sheetData>
  <mergeCells count="4">
    <mergeCell ref="C1:C2"/>
    <mergeCell ref="W3:AC3"/>
    <mergeCell ref="B56:C56"/>
    <mergeCell ref="D56:E56"/>
  </mergeCells>
  <dataValidations count="1">
    <dataValidation type="list" allowBlank="1" showInputMessage="1" showErrorMessage="1" sqref="B2" xr:uid="{20960FC0-82EF-4720-8907-7FD5EACE3754}">
      <formula1>$L$2:$L$10</formula1>
    </dataValidation>
  </dataValidations>
  <hyperlinks>
    <hyperlink ref="Y4" r:id="rId1" xr:uid="{EE3427DB-F89C-4C15-932D-F45AC67BF9C0}"/>
  </hyperlinks>
  <pageMargins left="0.7" right="0.7" top="0.75" bottom="0.75" header="0.3" footer="0.3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448B3-E22C-4C0D-9237-7B98DD268CA2}">
  <sheetPr>
    <tabColor rgb="FF92D050"/>
  </sheetPr>
  <dimension ref="A1:X26"/>
  <sheetViews>
    <sheetView workbookViewId="0">
      <selection activeCell="B14" sqref="B14"/>
    </sheetView>
  </sheetViews>
  <sheetFormatPr defaultRowHeight="16" x14ac:dyDescent="0.4"/>
  <cols>
    <col min="1" max="1" width="8.7265625" style="1"/>
    <col min="2" max="2" width="12.6328125" style="1" customWidth="1"/>
    <col min="3" max="3" width="20.453125" style="1" customWidth="1"/>
    <col min="4" max="4" width="25.36328125" style="1" bestFit="1" customWidth="1"/>
    <col min="5" max="5" width="28.6328125" style="1" bestFit="1" customWidth="1"/>
    <col min="6" max="16384" width="8.7265625" style="1"/>
  </cols>
  <sheetData>
    <row r="1" spans="1:24" ht="18.5" thickBot="1" x14ac:dyDescent="0.55000000000000004">
      <c r="A1" s="232" t="s">
        <v>116</v>
      </c>
      <c r="B1" s="233"/>
      <c r="C1" s="233"/>
      <c r="D1" s="233"/>
      <c r="E1" s="234"/>
      <c r="F1" s="235" t="s">
        <v>14</v>
      </c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24" ht="16.5" thickBot="1" x14ac:dyDescent="0.45">
      <c r="A2" s="89" t="s">
        <v>117</v>
      </c>
      <c r="B2" s="90"/>
      <c r="C2" s="89" t="s">
        <v>118</v>
      </c>
      <c r="D2" s="89" t="s">
        <v>119</v>
      </c>
      <c r="E2" s="89" t="s">
        <v>120</v>
      </c>
      <c r="F2" s="91" t="s">
        <v>72</v>
      </c>
      <c r="G2" s="92" t="s">
        <v>70</v>
      </c>
      <c r="H2" s="92" t="s">
        <v>68</v>
      </c>
      <c r="I2" s="92" t="s">
        <v>66</v>
      </c>
      <c r="J2" s="92" t="s">
        <v>63</v>
      </c>
      <c r="K2" s="92" t="s">
        <v>61</v>
      </c>
      <c r="L2" s="92" t="s">
        <v>59</v>
      </c>
      <c r="M2" s="92" t="s">
        <v>57</v>
      </c>
      <c r="N2" s="92" t="s">
        <v>55</v>
      </c>
      <c r="O2" s="92" t="s">
        <v>53</v>
      </c>
      <c r="P2" s="92" t="s">
        <v>13</v>
      </c>
      <c r="Q2" s="93" t="s">
        <v>47</v>
      </c>
    </row>
    <row r="3" spans="1:24" x14ac:dyDescent="0.4">
      <c r="A3" s="237" t="s">
        <v>121</v>
      </c>
      <c r="B3" s="240" t="s">
        <v>122</v>
      </c>
      <c r="C3" s="58" t="s">
        <v>123</v>
      </c>
      <c r="D3" s="94" t="s">
        <v>124</v>
      </c>
      <c r="E3" s="58" t="s">
        <v>125</v>
      </c>
      <c r="F3" s="95">
        <v>78362</v>
      </c>
      <c r="G3" s="96">
        <v>86486</v>
      </c>
      <c r="H3" s="96">
        <v>85358</v>
      </c>
      <c r="I3" s="96">
        <v>95076</v>
      </c>
      <c r="J3" s="96">
        <v>93632</v>
      </c>
      <c r="K3" s="96">
        <v>90844</v>
      </c>
      <c r="L3" s="96">
        <v>90766</v>
      </c>
      <c r="M3" s="96">
        <v>90681</v>
      </c>
      <c r="N3" s="96">
        <v>97784</v>
      </c>
      <c r="O3" s="96">
        <v>91511</v>
      </c>
      <c r="P3" s="96">
        <v>88760</v>
      </c>
      <c r="Q3" s="97">
        <v>63950</v>
      </c>
    </row>
    <row r="4" spans="1:24" x14ac:dyDescent="0.4">
      <c r="A4" s="238"/>
      <c r="B4" s="241"/>
      <c r="C4" s="59" t="s">
        <v>126</v>
      </c>
      <c r="D4" s="3" t="s">
        <v>127</v>
      </c>
      <c r="E4" s="59" t="s">
        <v>128</v>
      </c>
      <c r="F4" s="98">
        <v>83590</v>
      </c>
      <c r="G4" s="99">
        <v>81455</v>
      </c>
      <c r="H4" s="99">
        <v>90695</v>
      </c>
      <c r="I4" s="99">
        <v>100490</v>
      </c>
      <c r="J4" s="99">
        <v>76260</v>
      </c>
      <c r="K4" s="99">
        <v>80690</v>
      </c>
      <c r="L4" s="99">
        <v>86715</v>
      </c>
      <c r="M4" s="99">
        <v>99990</v>
      </c>
      <c r="N4" s="99">
        <v>138695</v>
      </c>
      <c r="O4" s="99">
        <v>86130</v>
      </c>
      <c r="P4" s="99">
        <v>89100</v>
      </c>
      <c r="Q4" s="100">
        <v>92200</v>
      </c>
      <c r="X4" s="6" t="s">
        <v>15</v>
      </c>
    </row>
    <row r="5" spans="1:24" ht="16.5" thickBot="1" x14ac:dyDescent="0.45">
      <c r="A5" s="238"/>
      <c r="B5" s="242"/>
      <c r="C5" s="61" t="s">
        <v>129</v>
      </c>
      <c r="D5" s="4" t="s">
        <v>127</v>
      </c>
      <c r="E5" s="61" t="s">
        <v>125</v>
      </c>
      <c r="F5" s="101">
        <v>56072.9</v>
      </c>
      <c r="G5" s="102">
        <v>57483.1</v>
      </c>
      <c r="H5" s="102">
        <v>58034.400000000001</v>
      </c>
      <c r="I5" s="102">
        <v>69336.5</v>
      </c>
      <c r="J5" s="102">
        <v>67036.899999999994</v>
      </c>
      <c r="K5" s="102">
        <v>65106.5</v>
      </c>
      <c r="L5" s="102">
        <v>67460</v>
      </c>
      <c r="M5" s="102">
        <v>68602.399999999994</v>
      </c>
      <c r="N5" s="102">
        <v>74853.599999999991</v>
      </c>
      <c r="O5" s="102">
        <v>67291.100000000006</v>
      </c>
      <c r="P5" s="102">
        <v>67010</v>
      </c>
      <c r="Q5" s="103">
        <v>43873</v>
      </c>
      <c r="X5" s="6" t="s">
        <v>16</v>
      </c>
    </row>
    <row r="6" spans="1:24" x14ac:dyDescent="0.4">
      <c r="A6" s="238"/>
      <c r="B6" s="241" t="s">
        <v>130</v>
      </c>
      <c r="C6" s="104" t="s">
        <v>131</v>
      </c>
      <c r="D6" s="2" t="s">
        <v>132</v>
      </c>
      <c r="E6" s="104" t="s">
        <v>133</v>
      </c>
      <c r="F6" s="105">
        <v>2970.9</v>
      </c>
      <c r="G6" s="106">
        <v>3112.5</v>
      </c>
      <c r="H6" s="106">
        <v>3255.7999999999997</v>
      </c>
      <c r="I6" s="106">
        <v>3405.4</v>
      </c>
      <c r="J6" s="106">
        <v>3253.6</v>
      </c>
      <c r="K6" s="106">
        <v>2280.8999999999996</v>
      </c>
      <c r="L6" s="106">
        <v>2276.1000000000004</v>
      </c>
      <c r="M6" s="106">
        <v>2139.8000000000002</v>
      </c>
      <c r="N6" s="106">
        <v>2452.4</v>
      </c>
      <c r="O6" s="106">
        <v>2265.5</v>
      </c>
      <c r="P6" s="106">
        <v>2550.8000000000002</v>
      </c>
      <c r="Q6" s="107">
        <v>2402</v>
      </c>
      <c r="X6" s="6" t="s">
        <v>17</v>
      </c>
    </row>
    <row r="7" spans="1:24" x14ac:dyDescent="0.4">
      <c r="A7" s="238"/>
      <c r="B7" s="241"/>
      <c r="C7" s="59" t="s">
        <v>134</v>
      </c>
      <c r="D7" s="3" t="s">
        <v>132</v>
      </c>
      <c r="E7" s="59" t="s">
        <v>135</v>
      </c>
      <c r="F7" s="98">
        <v>2098.2000000000003</v>
      </c>
      <c r="G7" s="99">
        <v>1910.1000000000001</v>
      </c>
      <c r="H7" s="99">
        <v>2214.4</v>
      </c>
      <c r="I7" s="99">
        <v>2340.6999999999998</v>
      </c>
      <c r="J7" s="99">
        <v>2500.5999999999995</v>
      </c>
      <c r="K7" s="99">
        <v>2162</v>
      </c>
      <c r="L7" s="99">
        <v>2232.9</v>
      </c>
      <c r="M7" s="99">
        <v>2138.6999999999998</v>
      </c>
      <c r="N7" s="99">
        <v>2562.6999999999998</v>
      </c>
      <c r="O7" s="99">
        <v>2224.1999999999998</v>
      </c>
      <c r="P7" s="99">
        <v>2225.1999999999998</v>
      </c>
      <c r="Q7" s="100">
        <v>2582</v>
      </c>
      <c r="X7" s="6" t="s">
        <v>14</v>
      </c>
    </row>
    <row r="8" spans="1:24" x14ac:dyDescent="0.4">
      <c r="A8" s="238"/>
      <c r="B8" s="241"/>
      <c r="C8" s="59" t="s">
        <v>96</v>
      </c>
      <c r="D8" s="3" t="s">
        <v>132</v>
      </c>
      <c r="E8" s="59" t="s">
        <v>135</v>
      </c>
      <c r="F8" s="98">
        <v>1968.0000000000002</v>
      </c>
      <c r="G8" s="99">
        <v>1962.3</v>
      </c>
      <c r="H8" s="99">
        <v>1731.3999999999999</v>
      </c>
      <c r="I8" s="99">
        <v>1948.0999999999997</v>
      </c>
      <c r="J8" s="99">
        <v>1931.9</v>
      </c>
      <c r="K8" s="99">
        <v>1718.6</v>
      </c>
      <c r="L8" s="99">
        <v>1969.6000000000001</v>
      </c>
      <c r="M8" s="99">
        <v>1599.0999999999997</v>
      </c>
      <c r="N8" s="99">
        <v>2040.3</v>
      </c>
      <c r="O8" s="99">
        <v>1923.1999999999998</v>
      </c>
      <c r="P8" s="99">
        <v>1887</v>
      </c>
      <c r="Q8" s="100">
        <v>2389</v>
      </c>
      <c r="X8" s="6" t="s">
        <v>18</v>
      </c>
    </row>
    <row r="9" spans="1:24" x14ac:dyDescent="0.4">
      <c r="A9" s="238"/>
      <c r="B9" s="241"/>
      <c r="C9" s="59" t="s">
        <v>136</v>
      </c>
      <c r="D9" s="3" t="s">
        <v>132</v>
      </c>
      <c r="E9" s="59" t="s">
        <v>135</v>
      </c>
      <c r="F9" s="98">
        <v>0</v>
      </c>
      <c r="G9" s="99">
        <v>0</v>
      </c>
      <c r="H9" s="99">
        <v>0</v>
      </c>
      <c r="I9" s="99">
        <v>0</v>
      </c>
      <c r="J9" s="99">
        <v>0</v>
      </c>
      <c r="K9" s="99">
        <v>0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100">
        <v>0</v>
      </c>
      <c r="X9" s="6" t="s">
        <v>19</v>
      </c>
    </row>
    <row r="10" spans="1:24" x14ac:dyDescent="0.4">
      <c r="A10" s="238"/>
      <c r="B10" s="241"/>
      <c r="C10" s="59" t="s">
        <v>137</v>
      </c>
      <c r="D10" s="3" t="s">
        <v>132</v>
      </c>
      <c r="E10" s="59" t="s">
        <v>135</v>
      </c>
      <c r="F10" s="98">
        <v>0</v>
      </c>
      <c r="G10" s="99">
        <v>0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v>0</v>
      </c>
      <c r="P10" s="99">
        <v>1025</v>
      </c>
      <c r="Q10" s="100">
        <v>0</v>
      </c>
      <c r="X10" s="6" t="s">
        <v>20</v>
      </c>
    </row>
    <row r="11" spans="1:24" x14ac:dyDescent="0.4">
      <c r="A11" s="238"/>
      <c r="B11" s="241"/>
      <c r="C11" s="59" t="s">
        <v>138</v>
      </c>
      <c r="D11" s="3" t="s">
        <v>132</v>
      </c>
      <c r="E11" s="59" t="s">
        <v>139</v>
      </c>
      <c r="F11" s="98">
        <v>1195</v>
      </c>
      <c r="G11" s="99">
        <v>1230</v>
      </c>
      <c r="H11" s="99">
        <v>1240</v>
      </c>
      <c r="I11" s="99">
        <v>1185</v>
      </c>
      <c r="J11" s="99">
        <v>1120</v>
      </c>
      <c r="K11" s="99">
        <v>1510</v>
      </c>
      <c r="L11" s="99">
        <v>1360</v>
      </c>
      <c r="M11" s="99">
        <v>0</v>
      </c>
      <c r="N11" s="99">
        <v>2865</v>
      </c>
      <c r="O11" s="99">
        <v>1055</v>
      </c>
      <c r="P11" s="99">
        <v>1175</v>
      </c>
      <c r="Q11" s="100">
        <v>1115</v>
      </c>
      <c r="X11" s="6" t="s">
        <v>21</v>
      </c>
    </row>
    <row r="12" spans="1:24" ht="16.5" thickBot="1" x14ac:dyDescent="0.45">
      <c r="A12" s="239"/>
      <c r="B12" s="242"/>
      <c r="C12" s="61" t="s">
        <v>140</v>
      </c>
      <c r="D12" s="4" t="s">
        <v>132</v>
      </c>
      <c r="E12" s="61" t="s">
        <v>141</v>
      </c>
      <c r="F12" s="108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10">
        <v>0</v>
      </c>
      <c r="X12" s="6" t="s">
        <v>22</v>
      </c>
    </row>
    <row r="13" spans="1:24" x14ac:dyDescent="0.4">
      <c r="A13" s="243" t="s">
        <v>142</v>
      </c>
      <c r="B13" s="111"/>
      <c r="C13" s="58" t="s">
        <v>143</v>
      </c>
      <c r="D13" s="94" t="s">
        <v>132</v>
      </c>
      <c r="E13" s="94" t="s">
        <v>144</v>
      </c>
      <c r="F13" s="112">
        <v>58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7">
        <v>0</v>
      </c>
      <c r="X13" s="6"/>
    </row>
    <row r="14" spans="1:24" x14ac:dyDescent="0.4">
      <c r="A14" s="244"/>
      <c r="B14" s="113"/>
      <c r="C14" s="104" t="s">
        <v>145</v>
      </c>
      <c r="D14" s="2" t="s">
        <v>132</v>
      </c>
      <c r="E14" s="2" t="s">
        <v>146</v>
      </c>
      <c r="F14" s="114">
        <v>6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7">
        <v>0</v>
      </c>
      <c r="X14" s="6"/>
    </row>
    <row r="15" spans="1:24" x14ac:dyDescent="0.4">
      <c r="A15" s="245"/>
      <c r="B15" s="115"/>
      <c r="C15" s="59" t="s">
        <v>147</v>
      </c>
      <c r="D15" s="3" t="s">
        <v>132</v>
      </c>
      <c r="E15" s="3" t="s">
        <v>144</v>
      </c>
      <c r="F15" s="116">
        <v>241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100">
        <v>0</v>
      </c>
      <c r="X15" s="6"/>
    </row>
    <row r="16" spans="1:24" ht="16.5" thickBot="1" x14ac:dyDescent="0.45">
      <c r="A16" s="246"/>
      <c r="B16" s="117"/>
      <c r="C16" s="61" t="s">
        <v>148</v>
      </c>
      <c r="D16" s="4" t="s">
        <v>132</v>
      </c>
      <c r="E16" s="4" t="s">
        <v>144</v>
      </c>
      <c r="F16" s="118">
        <v>23.545000000000002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2">
        <v>0</v>
      </c>
      <c r="Q16" s="103"/>
      <c r="X16" s="6"/>
    </row>
    <row r="17" spans="1:24" ht="16.5" thickBot="1" x14ac:dyDescent="0.45">
      <c r="A17" s="119" t="s">
        <v>149</v>
      </c>
      <c r="B17" s="120"/>
      <c r="C17" s="119" t="s">
        <v>150</v>
      </c>
      <c r="D17" s="121" t="s">
        <v>65</v>
      </c>
      <c r="E17" s="119" t="s">
        <v>151</v>
      </c>
      <c r="F17" s="122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  <c r="M17" s="123">
        <v>0</v>
      </c>
      <c r="N17" s="123">
        <v>0</v>
      </c>
      <c r="O17" s="123">
        <v>0</v>
      </c>
      <c r="P17" s="123">
        <v>0</v>
      </c>
      <c r="Q17" s="124"/>
      <c r="X17" s="6"/>
    </row>
    <row r="18" spans="1:24" ht="16.5" thickBot="1" x14ac:dyDescent="0.45">
      <c r="A18" s="125"/>
      <c r="B18" s="126"/>
      <c r="C18" s="226" t="s">
        <v>152</v>
      </c>
      <c r="D18" s="227"/>
      <c r="E18" s="247"/>
      <c r="F18" s="127">
        <f>SUM(F3:F17)</f>
        <v>226585.54500000001</v>
      </c>
      <c r="G18" s="127">
        <f t="shared" ref="G18:Q18" si="0">SUM(G3:G17)</f>
        <v>233639</v>
      </c>
      <c r="H18" s="127">
        <f t="shared" si="0"/>
        <v>242528.99999999997</v>
      </c>
      <c r="I18" s="127">
        <f t="shared" si="0"/>
        <v>273781.7</v>
      </c>
      <c r="J18" s="127">
        <f t="shared" si="0"/>
        <v>245735</v>
      </c>
      <c r="K18" s="127">
        <f t="shared" si="0"/>
        <v>244312</v>
      </c>
      <c r="L18" s="127">
        <f t="shared" si="0"/>
        <v>252779.6</v>
      </c>
      <c r="M18" s="127">
        <f t="shared" si="0"/>
        <v>265150.99999999994</v>
      </c>
      <c r="N18" s="127">
        <f t="shared" si="0"/>
        <v>321253</v>
      </c>
      <c r="O18" s="127">
        <f t="shared" si="0"/>
        <v>252400.00000000003</v>
      </c>
      <c r="P18" s="127">
        <f t="shared" si="0"/>
        <v>253733</v>
      </c>
      <c r="Q18" s="128">
        <f t="shared" si="0"/>
        <v>208511</v>
      </c>
    </row>
    <row r="19" spans="1:24" ht="16.5" thickBot="1" x14ac:dyDescent="0.45">
      <c r="A19" s="125"/>
      <c r="B19" s="126"/>
      <c r="C19" s="213" t="s">
        <v>153</v>
      </c>
      <c r="D19" s="214"/>
      <c r="E19" s="228"/>
      <c r="F19" s="127">
        <f>SUM(F3:F16)</f>
        <v>226585.54500000001</v>
      </c>
      <c r="G19" s="127">
        <f t="shared" ref="G19:Q19" si="1">SUM(G3:G16)</f>
        <v>233639</v>
      </c>
      <c r="H19" s="127">
        <f t="shared" si="1"/>
        <v>242528.99999999997</v>
      </c>
      <c r="I19" s="127">
        <f t="shared" si="1"/>
        <v>273781.7</v>
      </c>
      <c r="J19" s="127">
        <f t="shared" si="1"/>
        <v>245735</v>
      </c>
      <c r="K19" s="127">
        <f t="shared" si="1"/>
        <v>244312</v>
      </c>
      <c r="L19" s="127">
        <f t="shared" si="1"/>
        <v>252779.6</v>
      </c>
      <c r="M19" s="127">
        <f t="shared" si="1"/>
        <v>265150.99999999994</v>
      </c>
      <c r="N19" s="127">
        <f t="shared" si="1"/>
        <v>321253</v>
      </c>
      <c r="O19" s="127">
        <f t="shared" si="1"/>
        <v>252400.00000000003</v>
      </c>
      <c r="P19" s="127">
        <f t="shared" si="1"/>
        <v>253733</v>
      </c>
      <c r="Q19" s="128">
        <f t="shared" si="1"/>
        <v>208511</v>
      </c>
    </row>
    <row r="20" spans="1:24" ht="16.5" thickBot="1" x14ac:dyDescent="0.45">
      <c r="A20" s="125"/>
      <c r="B20" s="126"/>
      <c r="C20" s="215" t="s">
        <v>154</v>
      </c>
      <c r="D20" s="216"/>
      <c r="E20" s="248"/>
      <c r="F20" s="127">
        <f>SUM(F17)</f>
        <v>0</v>
      </c>
      <c r="G20" s="127">
        <f t="shared" ref="G20:Q20" si="2">SUM(G17)</f>
        <v>0</v>
      </c>
      <c r="H20" s="127">
        <f t="shared" si="2"/>
        <v>0</v>
      </c>
      <c r="I20" s="127">
        <f t="shared" si="2"/>
        <v>0</v>
      </c>
      <c r="J20" s="127">
        <f t="shared" si="2"/>
        <v>0</v>
      </c>
      <c r="K20" s="127">
        <f t="shared" si="2"/>
        <v>0</v>
      </c>
      <c r="L20" s="127">
        <f t="shared" si="2"/>
        <v>0</v>
      </c>
      <c r="M20" s="127">
        <f t="shared" si="2"/>
        <v>0</v>
      </c>
      <c r="N20" s="127">
        <f t="shared" si="2"/>
        <v>0</v>
      </c>
      <c r="O20" s="127">
        <f t="shared" si="2"/>
        <v>0</v>
      </c>
      <c r="P20" s="127">
        <f t="shared" si="2"/>
        <v>0</v>
      </c>
      <c r="Q20" s="128">
        <f t="shared" si="2"/>
        <v>0</v>
      </c>
    </row>
    <row r="21" spans="1:24" ht="16.5" thickBot="1" x14ac:dyDescent="0.45">
      <c r="B21" s="129"/>
      <c r="C21" s="226" t="s">
        <v>155</v>
      </c>
      <c r="D21" s="227"/>
      <c r="E21" s="247"/>
      <c r="F21" s="249">
        <f>SUM(F18:Q18)</f>
        <v>3020409.8450000002</v>
      </c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1"/>
    </row>
    <row r="22" spans="1:24" ht="16.5" thickBot="1" x14ac:dyDescent="0.45">
      <c r="B22" s="129"/>
      <c r="C22" s="213" t="s">
        <v>156</v>
      </c>
      <c r="D22" s="214"/>
      <c r="E22" s="228"/>
      <c r="F22" s="229">
        <f>SUM(F19:Q19)</f>
        <v>3020409.8450000002</v>
      </c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1"/>
    </row>
    <row r="23" spans="1:24" ht="16.5" thickBot="1" x14ac:dyDescent="0.45">
      <c r="B23" s="129"/>
      <c r="C23" s="215" t="s">
        <v>157</v>
      </c>
      <c r="D23" s="216"/>
      <c r="E23" s="248"/>
      <c r="F23" s="252">
        <f>SUM(F20:Q20)</f>
        <v>0</v>
      </c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4"/>
    </row>
    <row r="24" spans="1:24" ht="16.5" thickBot="1" x14ac:dyDescent="0.45">
      <c r="B24" s="129"/>
      <c r="C24" s="255" t="s">
        <v>158</v>
      </c>
      <c r="D24" s="256"/>
      <c r="E24" s="256"/>
      <c r="F24" s="130">
        <f>F3/F18</f>
        <v>0.3458384779134962</v>
      </c>
      <c r="G24" s="130">
        <f t="shared" ref="G24:Q24" si="3">G3/G18</f>
        <v>0.37016936384764532</v>
      </c>
      <c r="H24" s="130">
        <f t="shared" si="3"/>
        <v>0.3519496637515514</v>
      </c>
      <c r="I24" s="130">
        <f t="shared" si="3"/>
        <v>0.34726937556454646</v>
      </c>
      <c r="J24" s="130">
        <f t="shared" si="3"/>
        <v>0.38102834354080617</v>
      </c>
      <c r="K24" s="130">
        <f t="shared" si="3"/>
        <v>0.37183601296702579</v>
      </c>
      <c r="L24" s="130">
        <f t="shared" si="3"/>
        <v>0.35907169724139132</v>
      </c>
      <c r="M24" s="130">
        <f t="shared" si="3"/>
        <v>0.34199757873815306</v>
      </c>
      <c r="N24" s="130">
        <f t="shared" si="3"/>
        <v>0.30438314972934105</v>
      </c>
      <c r="O24" s="130">
        <f t="shared" si="3"/>
        <v>0.36256339144215527</v>
      </c>
      <c r="P24" s="130">
        <f t="shared" si="3"/>
        <v>0.34981653943318369</v>
      </c>
      <c r="Q24" s="131">
        <f t="shared" si="3"/>
        <v>0.30669844756391751</v>
      </c>
    </row>
    <row r="25" spans="1:24" ht="16.5" thickBot="1" x14ac:dyDescent="0.45">
      <c r="B25" s="129"/>
      <c r="C25" s="255" t="s">
        <v>159</v>
      </c>
      <c r="D25" s="256"/>
      <c r="E25" s="256"/>
      <c r="F25" s="130">
        <f>F4/F18</f>
        <v>0.36891144137195508</v>
      </c>
      <c r="G25" s="130">
        <f t="shared" ref="G25:Q25" si="4">G4/G18</f>
        <v>0.34863614379448638</v>
      </c>
      <c r="H25" s="130">
        <f t="shared" si="4"/>
        <v>0.37395527957481378</v>
      </c>
      <c r="I25" s="130">
        <f t="shared" si="4"/>
        <v>0.36704425460138496</v>
      </c>
      <c r="J25" s="130">
        <f t="shared" si="4"/>
        <v>0.31033430321281052</v>
      </c>
      <c r="K25" s="130">
        <f t="shared" si="4"/>
        <v>0.33027440322210944</v>
      </c>
      <c r="L25" s="130">
        <f t="shared" si="4"/>
        <v>0.34304587870223702</v>
      </c>
      <c r="M25" s="130">
        <f t="shared" si="4"/>
        <v>0.37710587551998681</v>
      </c>
      <c r="N25" s="130">
        <f t="shared" si="4"/>
        <v>0.43173137682760937</v>
      </c>
      <c r="O25" s="130">
        <f t="shared" si="4"/>
        <v>0.34124405705229788</v>
      </c>
      <c r="P25" s="130">
        <f t="shared" si="4"/>
        <v>0.35115653068382907</v>
      </c>
      <c r="Q25" s="131">
        <f t="shared" si="4"/>
        <v>0.44218290641740726</v>
      </c>
    </row>
    <row r="26" spans="1:24" ht="16.5" thickBot="1" x14ac:dyDescent="0.45">
      <c r="B26" s="129"/>
      <c r="C26" s="255" t="s">
        <v>160</v>
      </c>
      <c r="D26" s="256"/>
      <c r="E26" s="256"/>
      <c r="F26" s="130">
        <f>F8/F18</f>
        <v>8.685461378394637E-3</v>
      </c>
      <c r="G26" s="130">
        <f t="shared" ref="G26:Q26" si="5">G8/G18</f>
        <v>8.3988546432744535E-3</v>
      </c>
      <c r="H26" s="130">
        <f t="shared" si="5"/>
        <v>7.1389400855155468E-3</v>
      </c>
      <c r="I26" s="130">
        <f t="shared" si="5"/>
        <v>7.1155230608912125E-3</v>
      </c>
      <c r="J26" s="130">
        <f t="shared" si="5"/>
        <v>7.8617209595702696E-3</v>
      </c>
      <c r="K26" s="130">
        <f t="shared" si="5"/>
        <v>7.0344477553292506E-3</v>
      </c>
      <c r="L26" s="130">
        <f t="shared" si="5"/>
        <v>7.7917680065954691E-3</v>
      </c>
      <c r="M26" s="130">
        <f t="shared" si="5"/>
        <v>6.0309031457546833E-3</v>
      </c>
      <c r="N26" s="130">
        <f t="shared" si="5"/>
        <v>6.3510690950745984E-3</v>
      </c>
      <c r="O26" s="130">
        <f t="shared" si="5"/>
        <v>7.619651347068144E-3</v>
      </c>
      <c r="P26" s="130">
        <f t="shared" si="5"/>
        <v>7.4369514410817673E-3</v>
      </c>
      <c r="Q26" s="131">
        <f t="shared" si="5"/>
        <v>1.1457429104459717E-2</v>
      </c>
    </row>
  </sheetData>
  <mergeCells count="18">
    <mergeCell ref="C23:E23"/>
    <mergeCell ref="F23:Q23"/>
    <mergeCell ref="C24:E24"/>
    <mergeCell ref="C25:E25"/>
    <mergeCell ref="C26:E26"/>
    <mergeCell ref="C22:E22"/>
    <mergeCell ref="F22:Q22"/>
    <mergeCell ref="A1:E1"/>
    <mergeCell ref="F1:Q1"/>
    <mergeCell ref="A3:A12"/>
    <mergeCell ref="B3:B5"/>
    <mergeCell ref="B6:B12"/>
    <mergeCell ref="A13:A16"/>
    <mergeCell ref="C18:E18"/>
    <mergeCell ref="C19:E19"/>
    <mergeCell ref="C20:E20"/>
    <mergeCell ref="C21:E21"/>
    <mergeCell ref="F21:Q21"/>
  </mergeCells>
  <dataValidations count="1">
    <dataValidation type="list" allowBlank="1" showInputMessage="1" showErrorMessage="1" sqref="F1:Q1" xr:uid="{291C9C60-5F96-410B-AF73-7C8C9F26609F}">
      <formula1>$X$4:$X$12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196E-0D7B-4C53-A951-388265169901}">
  <sheetPr>
    <tabColor rgb="FF92D050"/>
  </sheetPr>
  <dimension ref="A1:P127"/>
  <sheetViews>
    <sheetView tabSelected="1" topLeftCell="A112" workbookViewId="0">
      <selection activeCell="E122" sqref="E122"/>
    </sheetView>
  </sheetViews>
  <sheetFormatPr defaultColWidth="20.6328125" defaultRowHeight="14.5" x14ac:dyDescent="0.35"/>
  <cols>
    <col min="1" max="1" width="19.7265625" style="146" customWidth="1"/>
    <col min="2" max="2" width="18.7265625" style="146" customWidth="1"/>
    <col min="3" max="3" width="22.90625" style="146" customWidth="1"/>
    <col min="4" max="4" width="25" style="146" customWidth="1"/>
    <col min="5" max="5" width="46.81640625" style="146" customWidth="1"/>
    <col min="6" max="6" width="20.36328125" style="146" customWidth="1"/>
    <col min="7" max="7" width="13.1796875" style="146" customWidth="1"/>
    <col min="8" max="8" width="20.7265625" style="146" customWidth="1"/>
    <col min="9" max="9" width="24.1796875" style="146" customWidth="1"/>
    <col min="10" max="10" width="20.6328125" style="159" customWidth="1"/>
    <col min="11" max="11" width="31.1796875" style="160" customWidth="1"/>
    <col min="12" max="12" width="31.54296875" style="146" customWidth="1"/>
    <col min="13" max="14" width="20.6328125" style="146"/>
    <col min="15" max="15" width="31.26953125" style="146" bestFit="1" customWidth="1"/>
    <col min="16" max="16384" width="20.6328125" style="146"/>
  </cols>
  <sheetData>
    <row r="1" spans="1:12" ht="45" customHeight="1" x14ac:dyDescent="0.35">
      <c r="A1" s="257" t="s">
        <v>334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68" x14ac:dyDescent="0.35">
      <c r="A2" s="141" t="s">
        <v>201</v>
      </c>
      <c r="B2" s="141" t="s">
        <v>202</v>
      </c>
      <c r="C2" s="141" t="s">
        <v>203</v>
      </c>
      <c r="D2" s="141" t="s">
        <v>204</v>
      </c>
      <c r="E2" s="141" t="s">
        <v>205</v>
      </c>
      <c r="F2" s="141" t="s">
        <v>206</v>
      </c>
      <c r="G2" s="141" t="s">
        <v>91</v>
      </c>
      <c r="H2" s="141" t="s">
        <v>207</v>
      </c>
      <c r="I2" s="141" t="s">
        <v>333</v>
      </c>
      <c r="J2" s="145" t="s">
        <v>208</v>
      </c>
      <c r="K2" s="141" t="s">
        <v>209</v>
      </c>
      <c r="L2" s="141" t="s">
        <v>379</v>
      </c>
    </row>
    <row r="3" spans="1:12" ht="44" thickBot="1" x14ac:dyDescent="0.4">
      <c r="A3" s="147" t="s">
        <v>311</v>
      </c>
      <c r="B3" s="140" t="s">
        <v>1</v>
      </c>
      <c r="C3" s="140" t="s">
        <v>210</v>
      </c>
      <c r="D3" s="140" t="s">
        <v>211</v>
      </c>
      <c r="E3" s="140" t="s">
        <v>212</v>
      </c>
      <c r="F3" s="148">
        <v>60.21</v>
      </c>
      <c r="G3" s="140" t="s">
        <v>92</v>
      </c>
      <c r="H3" s="148">
        <f>F3*0.59/1000</f>
        <v>3.5523899999999997E-2</v>
      </c>
      <c r="I3" s="149">
        <f>4545*70</f>
        <v>318150</v>
      </c>
      <c r="J3" s="149"/>
      <c r="K3" s="140" t="s">
        <v>213</v>
      </c>
      <c r="L3" s="174" t="s">
        <v>339</v>
      </c>
    </row>
    <row r="4" spans="1:12" ht="44" thickBot="1" x14ac:dyDescent="0.4">
      <c r="A4" s="147" t="s">
        <v>311</v>
      </c>
      <c r="B4" s="140" t="s">
        <v>1</v>
      </c>
      <c r="C4" s="140" t="s">
        <v>210</v>
      </c>
      <c r="D4" s="140" t="s">
        <v>211</v>
      </c>
      <c r="E4" s="140" t="s">
        <v>214</v>
      </c>
      <c r="F4" s="148">
        <v>55343.93</v>
      </c>
      <c r="G4" s="140" t="s">
        <v>92</v>
      </c>
      <c r="H4" s="148">
        <f>312.61*F4/1000/1000</f>
        <v>17.301065957300001</v>
      </c>
      <c r="I4" s="149">
        <v>1659600</v>
      </c>
      <c r="J4" s="149"/>
      <c r="K4" s="140" t="s">
        <v>213</v>
      </c>
      <c r="L4" s="174" t="s">
        <v>339</v>
      </c>
    </row>
    <row r="5" spans="1:12" ht="44" thickBot="1" x14ac:dyDescent="0.4">
      <c r="A5" s="147" t="s">
        <v>311</v>
      </c>
      <c r="B5" s="140" t="s">
        <v>6</v>
      </c>
      <c r="C5" s="140" t="s">
        <v>210</v>
      </c>
      <c r="D5" s="140" t="s">
        <v>211</v>
      </c>
      <c r="E5" s="140" t="s">
        <v>326</v>
      </c>
      <c r="F5" s="148">
        <f>1865*50</f>
        <v>93250</v>
      </c>
      <c r="G5" s="140" t="s">
        <v>92</v>
      </c>
      <c r="H5" s="148">
        <f>F5*0.62/1000</f>
        <v>57.814999999999998</v>
      </c>
      <c r="I5" s="149">
        <v>634248.24</v>
      </c>
      <c r="J5" s="149"/>
      <c r="K5" s="140" t="s">
        <v>213</v>
      </c>
      <c r="L5" s="177" t="s">
        <v>355</v>
      </c>
    </row>
    <row r="6" spans="1:12" ht="44" thickBot="1" x14ac:dyDescent="0.4">
      <c r="A6" s="147" t="s">
        <v>311</v>
      </c>
      <c r="B6" s="140" t="s">
        <v>6</v>
      </c>
      <c r="C6" s="140" t="s">
        <v>210</v>
      </c>
      <c r="D6" s="140" t="s">
        <v>211</v>
      </c>
      <c r="E6" s="140" t="s">
        <v>323</v>
      </c>
      <c r="F6" s="148">
        <f>200*0.01*710</f>
        <v>1420</v>
      </c>
      <c r="G6" s="140" t="s">
        <v>92</v>
      </c>
      <c r="H6" s="148">
        <f>F6*0.05/1000</f>
        <v>7.0999999999999994E-2</v>
      </c>
      <c r="I6" s="149">
        <v>144000</v>
      </c>
      <c r="J6" s="149"/>
      <c r="K6" s="140" t="s">
        <v>213</v>
      </c>
      <c r="L6" s="177" t="s">
        <v>357</v>
      </c>
    </row>
    <row r="7" spans="1:12" ht="44" thickBot="1" x14ac:dyDescent="0.4">
      <c r="A7" s="147" t="s">
        <v>311</v>
      </c>
      <c r="B7" s="140" t="s">
        <v>6</v>
      </c>
      <c r="C7" s="140" t="s">
        <v>210</v>
      </c>
      <c r="D7" s="140" t="s">
        <v>211</v>
      </c>
      <c r="E7" s="140" t="s">
        <v>322</v>
      </c>
      <c r="F7" s="148">
        <f>260*0.1*20</f>
        <v>520</v>
      </c>
      <c r="G7" s="140" t="s">
        <v>92</v>
      </c>
      <c r="H7" s="148">
        <f>F7*0.62/1000</f>
        <v>0.32239999999999996</v>
      </c>
      <c r="I7" s="149">
        <v>515000</v>
      </c>
      <c r="J7" s="149"/>
      <c r="K7" s="140" t="s">
        <v>213</v>
      </c>
      <c r="L7" s="177" t="s">
        <v>357</v>
      </c>
    </row>
    <row r="8" spans="1:12" ht="44" thickBot="1" x14ac:dyDescent="0.4">
      <c r="A8" s="147" t="s">
        <v>311</v>
      </c>
      <c r="B8" s="140" t="s">
        <v>6</v>
      </c>
      <c r="C8" s="140" t="s">
        <v>210</v>
      </c>
      <c r="D8" s="140" t="s">
        <v>211</v>
      </c>
      <c r="E8" s="140" t="s">
        <v>215</v>
      </c>
      <c r="F8" s="148">
        <f>265.5*900</f>
        <v>238950</v>
      </c>
      <c r="G8" s="140" t="s">
        <v>92</v>
      </c>
      <c r="H8" s="148">
        <f>312.61*F8/1000/1000</f>
        <v>74.698159499999988</v>
      </c>
      <c r="I8" s="149">
        <v>156903.9</v>
      </c>
      <c r="J8" s="149"/>
      <c r="K8" s="140" t="s">
        <v>213</v>
      </c>
      <c r="L8" s="177" t="s">
        <v>355</v>
      </c>
    </row>
    <row r="9" spans="1:12" ht="44" thickBot="1" x14ac:dyDescent="0.4">
      <c r="A9" s="147" t="s">
        <v>311</v>
      </c>
      <c r="B9" s="140" t="s">
        <v>1</v>
      </c>
      <c r="C9" s="140" t="s">
        <v>210</v>
      </c>
      <c r="D9" s="140" t="s">
        <v>211</v>
      </c>
      <c r="E9" s="140" t="s">
        <v>216</v>
      </c>
      <c r="F9" s="148">
        <v>48000</v>
      </c>
      <c r="G9" s="140" t="s">
        <v>92</v>
      </c>
      <c r="H9" s="148">
        <v>14</v>
      </c>
      <c r="I9" s="149">
        <v>511676.08716223983</v>
      </c>
      <c r="J9" s="149"/>
      <c r="K9" s="140" t="s">
        <v>213</v>
      </c>
      <c r="L9" s="174" t="s">
        <v>339</v>
      </c>
    </row>
    <row r="10" spans="1:12" ht="44" thickBot="1" x14ac:dyDescent="0.4">
      <c r="A10" s="147" t="s">
        <v>311</v>
      </c>
      <c r="B10" s="140" t="s">
        <v>217</v>
      </c>
      <c r="C10" s="140" t="s">
        <v>210</v>
      </c>
      <c r="D10" s="140" t="s">
        <v>211</v>
      </c>
      <c r="E10" s="140" t="s">
        <v>218</v>
      </c>
      <c r="F10" s="148">
        <v>1040</v>
      </c>
      <c r="G10" s="140" t="s">
        <v>92</v>
      </c>
      <c r="H10" s="148">
        <f>F10*1.89/1000</f>
        <v>1.9656</v>
      </c>
      <c r="I10" s="149">
        <f>F10*60</f>
        <v>62400</v>
      </c>
      <c r="J10" s="149"/>
      <c r="K10" s="140" t="s">
        <v>213</v>
      </c>
      <c r="L10" s="172" t="s">
        <v>364</v>
      </c>
    </row>
    <row r="11" spans="1:12" ht="44" thickBot="1" x14ac:dyDescent="0.4">
      <c r="A11" s="147" t="s">
        <v>311</v>
      </c>
      <c r="B11" s="140" t="s">
        <v>217</v>
      </c>
      <c r="C11" s="140" t="s">
        <v>210</v>
      </c>
      <c r="D11" s="140" t="s">
        <v>211</v>
      </c>
      <c r="E11" s="140" t="s">
        <v>382</v>
      </c>
      <c r="F11" s="148">
        <f>3*50*22</f>
        <v>3300</v>
      </c>
      <c r="G11" s="140" t="s">
        <v>92</v>
      </c>
      <c r="H11" s="148">
        <f t="shared" ref="H11:H16" si="0">F11*0.59/1000</f>
        <v>1.9470000000000001</v>
      </c>
      <c r="I11" s="149">
        <f>3*22*340</f>
        <v>22440</v>
      </c>
      <c r="J11" s="149"/>
      <c r="K11" s="140" t="s">
        <v>213</v>
      </c>
      <c r="L11" s="174" t="s">
        <v>366</v>
      </c>
    </row>
    <row r="12" spans="1:12" ht="44" thickBot="1" x14ac:dyDescent="0.4">
      <c r="A12" s="147" t="s">
        <v>311</v>
      </c>
      <c r="B12" s="140" t="s">
        <v>217</v>
      </c>
      <c r="C12" s="140" t="s">
        <v>210</v>
      </c>
      <c r="D12" s="140" t="s">
        <v>211</v>
      </c>
      <c r="E12" s="140" t="s">
        <v>383</v>
      </c>
      <c r="F12" s="148">
        <f>53.2*2500</f>
        <v>133000</v>
      </c>
      <c r="G12" s="140" t="s">
        <v>92</v>
      </c>
      <c r="H12" s="148">
        <f t="shared" si="0"/>
        <v>78.47</v>
      </c>
      <c r="I12" s="149">
        <f>(53.2*3/0.25)*340</f>
        <v>217056.00000000003</v>
      </c>
      <c r="J12" s="149"/>
      <c r="K12" s="140" t="s">
        <v>213</v>
      </c>
      <c r="L12" s="174" t="s">
        <v>366</v>
      </c>
    </row>
    <row r="13" spans="1:12" ht="44" thickBot="1" x14ac:dyDescent="0.4">
      <c r="A13" s="147" t="s">
        <v>311</v>
      </c>
      <c r="B13" s="140" t="s">
        <v>217</v>
      </c>
      <c r="C13" s="140" t="s">
        <v>210</v>
      </c>
      <c r="D13" s="140" t="s">
        <v>211</v>
      </c>
      <c r="E13" s="140" t="s">
        <v>386</v>
      </c>
      <c r="F13" s="148">
        <f>1865*50</f>
        <v>93250</v>
      </c>
      <c r="G13" s="140" t="s">
        <v>92</v>
      </c>
      <c r="H13" s="148">
        <f t="shared" si="0"/>
        <v>55.017499999999998</v>
      </c>
      <c r="I13" s="149">
        <f>1865*340</f>
        <v>634100</v>
      </c>
      <c r="J13" s="149"/>
      <c r="K13" s="140" t="s">
        <v>213</v>
      </c>
      <c r="L13" s="174" t="s">
        <v>367</v>
      </c>
    </row>
    <row r="14" spans="1:12" ht="44" thickBot="1" x14ac:dyDescent="0.4">
      <c r="A14" s="147" t="s">
        <v>311</v>
      </c>
      <c r="B14" s="140" t="s">
        <v>217</v>
      </c>
      <c r="C14" s="140" t="s">
        <v>210</v>
      </c>
      <c r="D14" s="140" t="s">
        <v>211</v>
      </c>
      <c r="E14" s="140" t="s">
        <v>219</v>
      </c>
      <c r="F14" s="148">
        <f>474*25</f>
        <v>11850</v>
      </c>
      <c r="G14" s="140" t="s">
        <v>92</v>
      </c>
      <c r="H14" s="148">
        <f t="shared" si="0"/>
        <v>6.9915000000000003</v>
      </c>
      <c r="I14" s="149">
        <f>474*700</f>
        <v>331800</v>
      </c>
      <c r="J14" s="149"/>
      <c r="K14" s="140" t="s">
        <v>213</v>
      </c>
      <c r="L14" s="172" t="s">
        <v>364</v>
      </c>
    </row>
    <row r="15" spans="1:12" ht="44" thickBot="1" x14ac:dyDescent="0.4">
      <c r="A15" s="147" t="s">
        <v>311</v>
      </c>
      <c r="B15" s="140" t="s">
        <v>217</v>
      </c>
      <c r="C15" s="140" t="s">
        <v>210</v>
      </c>
      <c r="D15" s="140" t="s">
        <v>211</v>
      </c>
      <c r="E15" s="140" t="s">
        <v>220</v>
      </c>
      <c r="F15" s="148">
        <f>0.5265*2400</f>
        <v>1263.5999999999999</v>
      </c>
      <c r="G15" s="140" t="s">
        <v>92</v>
      </c>
      <c r="H15" s="148">
        <f t="shared" si="0"/>
        <v>0.74552399999999985</v>
      </c>
      <c r="I15" s="149">
        <v>5528.25</v>
      </c>
      <c r="J15" s="149"/>
      <c r="K15" s="140" t="s">
        <v>213</v>
      </c>
      <c r="L15" s="174" t="s">
        <v>365</v>
      </c>
    </row>
    <row r="16" spans="1:12" ht="44" thickBot="1" x14ac:dyDescent="0.4">
      <c r="A16" s="147" t="s">
        <v>311</v>
      </c>
      <c r="B16" s="140" t="s">
        <v>217</v>
      </c>
      <c r="C16" s="140" t="s">
        <v>210</v>
      </c>
      <c r="D16" s="140" t="s">
        <v>211</v>
      </c>
      <c r="E16" s="140" t="s">
        <v>221</v>
      </c>
      <c r="F16" s="148">
        <f>32.175*1700</f>
        <v>54697.499999999993</v>
      </c>
      <c r="G16" s="140" t="s">
        <v>92</v>
      </c>
      <c r="H16" s="148">
        <f t="shared" si="0"/>
        <v>32.271524999999997</v>
      </c>
      <c r="I16" s="149">
        <v>13996.13</v>
      </c>
      <c r="J16" s="149"/>
      <c r="K16" s="140" t="s">
        <v>213</v>
      </c>
      <c r="L16" s="174" t="s">
        <v>365</v>
      </c>
    </row>
    <row r="17" spans="1:12" ht="44" thickBot="1" x14ac:dyDescent="0.4">
      <c r="A17" s="147" t="s">
        <v>311</v>
      </c>
      <c r="B17" s="140" t="s">
        <v>222</v>
      </c>
      <c r="C17" s="140" t="s">
        <v>210</v>
      </c>
      <c r="D17" s="140" t="s">
        <v>211</v>
      </c>
      <c r="E17" s="140" t="s">
        <v>223</v>
      </c>
      <c r="F17" s="148">
        <v>5527.5</v>
      </c>
      <c r="G17" s="140" t="s">
        <v>92</v>
      </c>
      <c r="H17" s="148">
        <v>8.1540574415999973</v>
      </c>
      <c r="I17" s="149">
        <v>596999.68000000005</v>
      </c>
      <c r="J17" s="149"/>
      <c r="K17" s="140" t="s">
        <v>213</v>
      </c>
      <c r="L17" s="174" t="s">
        <v>352</v>
      </c>
    </row>
    <row r="18" spans="1:12" ht="44" thickBot="1" x14ac:dyDescent="0.4">
      <c r="A18" s="147" t="s">
        <v>311</v>
      </c>
      <c r="B18" s="140" t="s">
        <v>6</v>
      </c>
      <c r="C18" s="140" t="s">
        <v>210</v>
      </c>
      <c r="D18" s="140" t="s">
        <v>211</v>
      </c>
      <c r="E18" s="140" t="s">
        <v>224</v>
      </c>
      <c r="F18" s="148">
        <f>243622+45182</f>
        <v>288804</v>
      </c>
      <c r="G18" s="140" t="s">
        <v>92</v>
      </c>
      <c r="H18" s="148">
        <f>F18*0.59/1000</f>
        <v>170.39435999999998</v>
      </c>
      <c r="I18" s="149">
        <f>F18*400/50</f>
        <v>2310432</v>
      </c>
      <c r="J18" s="149"/>
      <c r="K18" s="140" t="s">
        <v>213</v>
      </c>
      <c r="L18" s="177" t="s">
        <v>355</v>
      </c>
    </row>
    <row r="19" spans="1:12" ht="58.5" thickBot="1" x14ac:dyDescent="0.4">
      <c r="A19" s="147" t="s">
        <v>311</v>
      </c>
      <c r="B19" s="140" t="s">
        <v>12</v>
      </c>
      <c r="C19" s="140" t="s">
        <v>210</v>
      </c>
      <c r="D19" s="140" t="s">
        <v>211</v>
      </c>
      <c r="E19" s="140" t="s">
        <v>225</v>
      </c>
      <c r="F19" s="148"/>
      <c r="G19" s="140" t="s">
        <v>92</v>
      </c>
      <c r="H19" s="148">
        <f>F19*0.59/1000</f>
        <v>0</v>
      </c>
      <c r="I19" s="149">
        <f>F19*400/50</f>
        <v>0</v>
      </c>
      <c r="J19" s="149"/>
      <c r="K19" s="140" t="s">
        <v>213</v>
      </c>
      <c r="L19" s="177" t="s">
        <v>374</v>
      </c>
    </row>
    <row r="20" spans="1:12" ht="44" thickBot="1" x14ac:dyDescent="0.4">
      <c r="A20" s="147" t="s">
        <v>311</v>
      </c>
      <c r="B20" s="140" t="s">
        <v>12</v>
      </c>
      <c r="C20" s="140" t="s">
        <v>210</v>
      </c>
      <c r="D20" s="140" t="s">
        <v>211</v>
      </c>
      <c r="E20" s="140" t="s">
        <v>226</v>
      </c>
      <c r="F20" s="148"/>
      <c r="G20" s="140" t="s">
        <v>92</v>
      </c>
      <c r="H20" s="148">
        <f>F20*0.59/1000</f>
        <v>0</v>
      </c>
      <c r="I20" s="149">
        <f>F20*400/50</f>
        <v>0</v>
      </c>
      <c r="J20" s="149"/>
      <c r="K20" s="140" t="s">
        <v>213</v>
      </c>
      <c r="L20" s="177" t="s">
        <v>374</v>
      </c>
    </row>
    <row r="21" spans="1:12" ht="44" thickBot="1" x14ac:dyDescent="0.4">
      <c r="A21" s="147" t="s">
        <v>311</v>
      </c>
      <c r="B21" s="140" t="s">
        <v>6</v>
      </c>
      <c r="C21" s="140" t="s">
        <v>210</v>
      </c>
      <c r="D21" s="140" t="s">
        <v>211</v>
      </c>
      <c r="E21" s="140" t="s">
        <v>227</v>
      </c>
      <c r="F21" s="148">
        <f>418.98*25</f>
        <v>10474.5</v>
      </c>
      <c r="G21" s="140" t="s">
        <v>92</v>
      </c>
      <c r="H21" s="148">
        <f>F21*0.59/1000</f>
        <v>6.1799549999999996</v>
      </c>
      <c r="I21" s="149">
        <v>355403.9</v>
      </c>
      <c r="J21" s="149"/>
      <c r="K21" s="140" t="s">
        <v>213</v>
      </c>
      <c r="L21" s="177" t="s">
        <v>355</v>
      </c>
    </row>
    <row r="22" spans="1:12" ht="44" thickBot="1" x14ac:dyDescent="0.4">
      <c r="A22" s="147" t="s">
        <v>311</v>
      </c>
      <c r="B22" s="140" t="s">
        <v>6</v>
      </c>
      <c r="C22" s="140" t="s">
        <v>210</v>
      </c>
      <c r="D22" s="140" t="s">
        <v>211</v>
      </c>
      <c r="E22" s="140" t="s">
        <v>228</v>
      </c>
      <c r="F22" s="148">
        <v>0</v>
      </c>
      <c r="G22" s="140" t="s">
        <v>92</v>
      </c>
      <c r="H22" s="148">
        <f>F22*0.59/1000</f>
        <v>0</v>
      </c>
      <c r="I22" s="149">
        <f>984323.2+518064.8</f>
        <v>1502388</v>
      </c>
      <c r="J22" s="149"/>
      <c r="K22" s="140" t="s">
        <v>213</v>
      </c>
      <c r="L22" s="177" t="s">
        <v>356</v>
      </c>
    </row>
    <row r="23" spans="1:12" ht="44" thickBot="1" x14ac:dyDescent="0.4">
      <c r="A23" s="147" t="s">
        <v>311</v>
      </c>
      <c r="B23" s="140" t="s">
        <v>6</v>
      </c>
      <c r="C23" s="140" t="s">
        <v>210</v>
      </c>
      <c r="D23" s="140" t="s">
        <v>211</v>
      </c>
      <c r="E23" s="140" t="s">
        <v>229</v>
      </c>
      <c r="F23" s="148">
        <v>0</v>
      </c>
      <c r="G23" s="140" t="s">
        <v>92</v>
      </c>
      <c r="H23" s="148"/>
      <c r="I23" s="149">
        <v>1013832</v>
      </c>
      <c r="J23" s="149"/>
      <c r="K23" s="140" t="s">
        <v>213</v>
      </c>
      <c r="L23" s="177" t="s">
        <v>356</v>
      </c>
    </row>
    <row r="24" spans="1:12" ht="44" thickBot="1" x14ac:dyDescent="0.4">
      <c r="A24" s="147" t="s">
        <v>311</v>
      </c>
      <c r="B24" s="140" t="s">
        <v>6</v>
      </c>
      <c r="C24" s="140" t="s">
        <v>210</v>
      </c>
      <c r="D24" s="140" t="s">
        <v>211</v>
      </c>
      <c r="E24" s="140" t="s">
        <v>230</v>
      </c>
      <c r="F24" s="148">
        <v>0</v>
      </c>
      <c r="G24" s="140" t="s">
        <v>92</v>
      </c>
      <c r="H24" s="148"/>
      <c r="I24" s="149">
        <v>184100</v>
      </c>
      <c r="J24" s="149"/>
      <c r="K24" s="140" t="s">
        <v>213</v>
      </c>
      <c r="L24" s="177" t="s">
        <v>356</v>
      </c>
    </row>
    <row r="25" spans="1:12" ht="29.5" thickBot="1" x14ac:dyDescent="0.4">
      <c r="A25" s="150" t="s">
        <v>231</v>
      </c>
      <c r="B25" s="142" t="s">
        <v>6</v>
      </c>
      <c r="C25" s="140" t="s">
        <v>232</v>
      </c>
      <c r="D25" s="140" t="s">
        <v>233</v>
      </c>
      <c r="E25" s="140" t="s">
        <v>325</v>
      </c>
      <c r="F25" s="148">
        <f>(1440/1000)*12*365*2</f>
        <v>12614.400000000001</v>
      </c>
      <c r="G25" s="140" t="s">
        <v>235</v>
      </c>
      <c r="H25" s="148">
        <f>F25*0.000727</f>
        <v>9.1706688000000014</v>
      </c>
      <c r="I25" s="149">
        <f>96000*2</f>
        <v>192000</v>
      </c>
      <c r="J25" s="149">
        <v>0</v>
      </c>
      <c r="K25" s="140" t="s">
        <v>236</v>
      </c>
      <c r="L25" s="177" t="s">
        <v>357</v>
      </c>
    </row>
    <row r="26" spans="1:12" ht="29.5" thickBot="1" x14ac:dyDescent="0.4">
      <c r="A26" s="150" t="s">
        <v>231</v>
      </c>
      <c r="B26" s="142" t="s">
        <v>6</v>
      </c>
      <c r="C26" s="140" t="s">
        <v>232</v>
      </c>
      <c r="D26" s="140" t="s">
        <v>233</v>
      </c>
      <c r="E26" s="140" t="s">
        <v>327</v>
      </c>
      <c r="F26" s="148">
        <f>7*4.11*365*50</f>
        <v>525052.5</v>
      </c>
      <c r="G26" s="140" t="s">
        <v>235</v>
      </c>
      <c r="H26" s="148">
        <f>F26*0.000727</f>
        <v>381.7131675</v>
      </c>
      <c r="I26" s="149">
        <f>F26*17</f>
        <v>8925892.5</v>
      </c>
      <c r="J26" s="149">
        <v>0</v>
      </c>
      <c r="K26" s="140" t="s">
        <v>236</v>
      </c>
      <c r="L26" s="177" t="s">
        <v>357</v>
      </c>
    </row>
    <row r="27" spans="1:12" ht="29" x14ac:dyDescent="0.35">
      <c r="A27" s="150" t="s">
        <v>231</v>
      </c>
      <c r="B27" s="142" t="s">
        <v>6</v>
      </c>
      <c r="C27" s="140" t="s">
        <v>232</v>
      </c>
      <c r="D27" s="140" t="s">
        <v>233</v>
      </c>
      <c r="E27" s="140" t="s">
        <v>234</v>
      </c>
      <c r="F27" s="148">
        <v>2489</v>
      </c>
      <c r="G27" s="140" t="s">
        <v>235</v>
      </c>
      <c r="H27" s="148">
        <f t="shared" ref="H27:H44" si="1">F27*0.000727</f>
        <v>1.8095030000000001</v>
      </c>
      <c r="I27" s="149">
        <f t="shared" ref="I27:I43" si="2">F27*35</f>
        <v>87115</v>
      </c>
      <c r="J27" s="149">
        <v>0</v>
      </c>
      <c r="K27" s="140" t="s">
        <v>236</v>
      </c>
      <c r="L27" s="161" t="s">
        <v>381</v>
      </c>
    </row>
    <row r="28" spans="1:12" ht="29" x14ac:dyDescent="0.35">
      <c r="A28" s="150" t="s">
        <v>231</v>
      </c>
      <c r="B28" s="142" t="s">
        <v>11</v>
      </c>
      <c r="C28" s="140" t="s">
        <v>232</v>
      </c>
      <c r="D28" s="140" t="s">
        <v>233</v>
      </c>
      <c r="E28" s="140" t="s">
        <v>328</v>
      </c>
      <c r="F28" s="148">
        <f>3891*12</f>
        <v>46692</v>
      </c>
      <c r="G28" s="140" t="s">
        <v>235</v>
      </c>
      <c r="H28" s="148">
        <f>F28*0.000727</f>
        <v>33.945084000000001</v>
      </c>
      <c r="I28" s="149">
        <f>F28*19.34</f>
        <v>903023.28</v>
      </c>
      <c r="J28" s="149">
        <f>30*55000</f>
        <v>1650000</v>
      </c>
      <c r="K28" s="140" t="s">
        <v>236</v>
      </c>
      <c r="L28" s="161" t="s">
        <v>381</v>
      </c>
    </row>
    <row r="29" spans="1:12" ht="29.5" thickBot="1" x14ac:dyDescent="0.4">
      <c r="A29" s="150" t="s">
        <v>231</v>
      </c>
      <c r="B29" s="142" t="s">
        <v>217</v>
      </c>
      <c r="C29" s="140" t="s">
        <v>242</v>
      </c>
      <c r="D29" s="140" t="s">
        <v>240</v>
      </c>
      <c r="E29" s="140" t="s">
        <v>385</v>
      </c>
      <c r="F29" s="148">
        <v>1440</v>
      </c>
      <c r="G29" s="140" t="s">
        <v>235</v>
      </c>
      <c r="H29" s="148">
        <f t="shared" ref="H29" si="3">F29*0.000727</f>
        <v>1.04688</v>
      </c>
      <c r="I29" s="149">
        <f>F29*16+96000*2</f>
        <v>215040</v>
      </c>
      <c r="J29" s="149"/>
      <c r="K29" s="140" t="s">
        <v>236</v>
      </c>
      <c r="L29" s="174" t="s">
        <v>367</v>
      </c>
    </row>
    <row r="30" spans="1:12" ht="29.5" thickBot="1" x14ac:dyDescent="0.4">
      <c r="A30" s="150" t="s">
        <v>231</v>
      </c>
      <c r="B30" s="142" t="s">
        <v>217</v>
      </c>
      <c r="C30" s="140" t="s">
        <v>232</v>
      </c>
      <c r="D30" s="140" t="s">
        <v>233</v>
      </c>
      <c r="E30" s="140" t="s">
        <v>384</v>
      </c>
      <c r="F30" s="148">
        <f>7*4.11*365</f>
        <v>10501.050000000001</v>
      </c>
      <c r="G30" s="140" t="s">
        <v>235</v>
      </c>
      <c r="H30" s="148">
        <f t="shared" si="1"/>
        <v>7.6342633500000003</v>
      </c>
      <c r="I30" s="149">
        <f>F30*16</f>
        <v>168016.80000000002</v>
      </c>
      <c r="J30" s="149">
        <f>7*55000</f>
        <v>385000</v>
      </c>
      <c r="K30" s="140" t="s">
        <v>236</v>
      </c>
      <c r="L30" s="174" t="s">
        <v>367</v>
      </c>
    </row>
    <row r="31" spans="1:12" ht="29.5" thickBot="1" x14ac:dyDescent="0.4">
      <c r="A31" s="150" t="s">
        <v>231</v>
      </c>
      <c r="B31" s="140" t="s">
        <v>3</v>
      </c>
      <c r="C31" s="140" t="s">
        <v>232</v>
      </c>
      <c r="D31" s="140" t="s">
        <v>233</v>
      </c>
      <c r="E31" s="140" t="s">
        <v>237</v>
      </c>
      <c r="F31" s="148">
        <v>40858</v>
      </c>
      <c r="G31" s="140" t="s">
        <v>235</v>
      </c>
      <c r="H31" s="148">
        <f t="shared" si="1"/>
        <v>29.703766000000002</v>
      </c>
      <c r="I31" s="149">
        <f>F31*30</f>
        <v>1225740</v>
      </c>
      <c r="J31" s="149">
        <f>30*55000</f>
        <v>1650000</v>
      </c>
      <c r="K31" s="140" t="s">
        <v>236</v>
      </c>
      <c r="L31" s="183" t="s">
        <v>381</v>
      </c>
    </row>
    <row r="32" spans="1:12" ht="44" thickBot="1" x14ac:dyDescent="0.4">
      <c r="A32" s="150" t="s">
        <v>231</v>
      </c>
      <c r="B32" s="140" t="s">
        <v>3</v>
      </c>
      <c r="C32" s="140" t="s">
        <v>232</v>
      </c>
      <c r="D32" s="140" t="s">
        <v>240</v>
      </c>
      <c r="E32" s="140" t="s">
        <v>388</v>
      </c>
      <c r="F32" s="148">
        <v>430</v>
      </c>
      <c r="G32" s="140" t="s">
        <v>235</v>
      </c>
      <c r="H32" s="148">
        <f t="shared" ref="H32" si="4">F32*0.000727</f>
        <v>0.31261</v>
      </c>
      <c r="I32" s="149">
        <f>F32*33+5133</f>
        <v>19323</v>
      </c>
      <c r="J32" s="149"/>
      <c r="K32" s="140" t="s">
        <v>236</v>
      </c>
      <c r="L32" s="176" t="s">
        <v>340</v>
      </c>
    </row>
    <row r="33" spans="1:12" ht="44" thickBot="1" x14ac:dyDescent="0.4">
      <c r="A33" s="150" t="s">
        <v>231</v>
      </c>
      <c r="B33" s="140" t="s">
        <v>3</v>
      </c>
      <c r="C33" s="140" t="s">
        <v>232</v>
      </c>
      <c r="D33" s="140" t="s">
        <v>233</v>
      </c>
      <c r="E33" s="140" t="s">
        <v>238</v>
      </c>
      <c r="F33" s="148">
        <f>43.2*4</f>
        <v>172.8</v>
      </c>
      <c r="G33" s="140" t="s">
        <v>235</v>
      </c>
      <c r="H33" s="148">
        <f t="shared" si="1"/>
        <v>0.1256256</v>
      </c>
      <c r="I33" s="149">
        <f>F33*30</f>
        <v>5184</v>
      </c>
      <c r="J33" s="149">
        <f>30*55000</f>
        <v>1650000</v>
      </c>
      <c r="K33" s="140" t="s">
        <v>236</v>
      </c>
      <c r="L33" s="177" t="s">
        <v>341</v>
      </c>
    </row>
    <row r="34" spans="1:12" ht="29.5" thickBot="1" x14ac:dyDescent="0.4">
      <c r="A34" s="150" t="s">
        <v>231</v>
      </c>
      <c r="B34" s="140" t="s">
        <v>5</v>
      </c>
      <c r="C34" s="140" t="s">
        <v>239</v>
      </c>
      <c r="D34" s="140" t="s">
        <v>240</v>
      </c>
      <c r="E34" s="140" t="s">
        <v>241</v>
      </c>
      <c r="F34" s="148">
        <v>832</v>
      </c>
      <c r="G34" s="140" t="s">
        <v>235</v>
      </c>
      <c r="H34" s="148">
        <f t="shared" si="1"/>
        <v>0.60486399999999996</v>
      </c>
      <c r="I34" s="149">
        <f t="shared" si="2"/>
        <v>29120</v>
      </c>
      <c r="J34" s="149"/>
      <c r="K34" s="140" t="s">
        <v>236</v>
      </c>
      <c r="L34" s="177" t="s">
        <v>345</v>
      </c>
    </row>
    <row r="35" spans="1:12" ht="29.5" thickBot="1" x14ac:dyDescent="0.4">
      <c r="A35" s="150" t="s">
        <v>231</v>
      </c>
      <c r="B35" s="140" t="s">
        <v>5</v>
      </c>
      <c r="C35" s="140" t="s">
        <v>242</v>
      </c>
      <c r="D35" s="140" t="s">
        <v>240</v>
      </c>
      <c r="E35" s="140" t="s">
        <v>243</v>
      </c>
      <c r="F35" s="148">
        <v>5904</v>
      </c>
      <c r="G35" s="140" t="s">
        <v>235</v>
      </c>
      <c r="H35" s="148">
        <f t="shared" si="1"/>
        <v>4.2922079999999996</v>
      </c>
      <c r="I35" s="149">
        <f t="shared" si="2"/>
        <v>206640</v>
      </c>
      <c r="J35" s="149"/>
      <c r="K35" s="140" t="s">
        <v>236</v>
      </c>
      <c r="L35" s="177" t="s">
        <v>345</v>
      </c>
    </row>
    <row r="36" spans="1:12" ht="29.5" thickBot="1" x14ac:dyDescent="0.4">
      <c r="A36" s="150" t="s">
        <v>231</v>
      </c>
      <c r="B36" s="140" t="s">
        <v>5</v>
      </c>
      <c r="C36" s="140" t="s">
        <v>242</v>
      </c>
      <c r="D36" s="140" t="s">
        <v>244</v>
      </c>
      <c r="E36" s="140" t="s">
        <v>245</v>
      </c>
      <c r="F36" s="148">
        <v>280</v>
      </c>
      <c r="G36" s="140" t="s">
        <v>235</v>
      </c>
      <c r="H36" s="148">
        <f t="shared" si="1"/>
        <v>0.20355999999999999</v>
      </c>
      <c r="I36" s="149">
        <f t="shared" si="2"/>
        <v>9800</v>
      </c>
      <c r="J36" s="149">
        <v>3000</v>
      </c>
      <c r="K36" s="140" t="s">
        <v>236</v>
      </c>
      <c r="L36" s="177" t="s">
        <v>345</v>
      </c>
    </row>
    <row r="37" spans="1:12" ht="29.5" thickBot="1" x14ac:dyDescent="0.4">
      <c r="A37" s="150" t="s">
        <v>231</v>
      </c>
      <c r="B37" s="140" t="s">
        <v>222</v>
      </c>
      <c r="C37" s="140" t="s">
        <v>242</v>
      </c>
      <c r="D37" s="140" t="s">
        <v>244</v>
      </c>
      <c r="E37" s="140" t="s">
        <v>245</v>
      </c>
      <c r="F37" s="148">
        <v>345.4</v>
      </c>
      <c r="G37" s="140" t="s">
        <v>235</v>
      </c>
      <c r="H37" s="148">
        <f t="shared" si="1"/>
        <v>0.25110579999999999</v>
      </c>
      <c r="I37" s="149">
        <f t="shared" si="2"/>
        <v>12089</v>
      </c>
      <c r="J37" s="149">
        <v>3000</v>
      </c>
      <c r="K37" s="140" t="s">
        <v>236</v>
      </c>
      <c r="L37" s="174" t="s">
        <v>352</v>
      </c>
    </row>
    <row r="38" spans="1:12" ht="29.5" thickBot="1" x14ac:dyDescent="0.4">
      <c r="A38" s="150" t="s">
        <v>231</v>
      </c>
      <c r="B38" s="140" t="s">
        <v>222</v>
      </c>
      <c r="C38" s="140" t="s">
        <v>242</v>
      </c>
      <c r="D38" s="140" t="s">
        <v>244</v>
      </c>
      <c r="E38" s="140" t="s">
        <v>246</v>
      </c>
      <c r="F38" s="148">
        <f>28*94*20</f>
        <v>52640</v>
      </c>
      <c r="G38" s="140" t="s">
        <v>92</v>
      </c>
      <c r="H38" s="148">
        <f>F38*0.59/1000</f>
        <v>31.057599999999997</v>
      </c>
      <c r="I38" s="149">
        <f>676800+1015200</f>
        <v>1692000</v>
      </c>
      <c r="J38" s="149">
        <v>3000</v>
      </c>
      <c r="K38" s="140" t="s">
        <v>236</v>
      </c>
      <c r="L38" s="174" t="s">
        <v>350</v>
      </c>
    </row>
    <row r="39" spans="1:12" ht="29.5" thickBot="1" x14ac:dyDescent="0.4">
      <c r="A39" s="150" t="s">
        <v>231</v>
      </c>
      <c r="B39" s="140" t="s">
        <v>5</v>
      </c>
      <c r="C39" s="140" t="s">
        <v>239</v>
      </c>
      <c r="D39" s="140" t="s">
        <v>240</v>
      </c>
      <c r="E39" s="140" t="s">
        <v>247</v>
      </c>
      <c r="F39" s="148">
        <v>7084</v>
      </c>
      <c r="G39" s="140" t="s">
        <v>235</v>
      </c>
      <c r="H39" s="148">
        <f t="shared" si="1"/>
        <v>5.1500680000000001</v>
      </c>
      <c r="I39" s="149">
        <f t="shared" si="2"/>
        <v>247940</v>
      </c>
      <c r="J39" s="149"/>
      <c r="K39" s="140" t="s">
        <v>236</v>
      </c>
      <c r="L39" s="177" t="s">
        <v>345</v>
      </c>
    </row>
    <row r="40" spans="1:12" ht="44" thickBot="1" x14ac:dyDescent="0.4">
      <c r="A40" s="150" t="s">
        <v>231</v>
      </c>
      <c r="B40" s="140" t="s">
        <v>5</v>
      </c>
      <c r="C40" s="140" t="s">
        <v>239</v>
      </c>
      <c r="D40" s="140" t="s">
        <v>240</v>
      </c>
      <c r="E40" s="140" t="s">
        <v>248</v>
      </c>
      <c r="F40" s="148">
        <v>580</v>
      </c>
      <c r="G40" s="140" t="s">
        <v>235</v>
      </c>
      <c r="H40" s="148">
        <f t="shared" si="1"/>
        <v>0.42165999999999998</v>
      </c>
      <c r="I40" s="149">
        <f t="shared" si="2"/>
        <v>20300</v>
      </c>
      <c r="J40" s="149">
        <v>650</v>
      </c>
      <c r="K40" s="140" t="s">
        <v>236</v>
      </c>
      <c r="L40" s="177" t="s">
        <v>345</v>
      </c>
    </row>
    <row r="41" spans="1:12" ht="29.5" thickBot="1" x14ac:dyDescent="0.4">
      <c r="A41" s="150" t="s">
        <v>231</v>
      </c>
      <c r="B41" s="140" t="s">
        <v>5</v>
      </c>
      <c r="C41" s="140" t="s">
        <v>239</v>
      </c>
      <c r="D41" s="140" t="s">
        <v>240</v>
      </c>
      <c r="E41" s="140" t="s">
        <v>249</v>
      </c>
      <c r="F41" s="148">
        <v>96</v>
      </c>
      <c r="G41" s="140" t="s">
        <v>235</v>
      </c>
      <c r="H41" s="148">
        <f t="shared" si="1"/>
        <v>6.9791999999999993E-2</v>
      </c>
      <c r="I41" s="149">
        <f t="shared" si="2"/>
        <v>3360</v>
      </c>
      <c r="J41" s="149"/>
      <c r="K41" s="140" t="s">
        <v>236</v>
      </c>
      <c r="L41" s="177" t="s">
        <v>345</v>
      </c>
    </row>
    <row r="42" spans="1:12" ht="29.5" thickBot="1" x14ac:dyDescent="0.4">
      <c r="A42" s="150" t="s">
        <v>231</v>
      </c>
      <c r="B42" s="140" t="s">
        <v>5</v>
      </c>
      <c r="C42" s="140" t="s">
        <v>239</v>
      </c>
      <c r="D42" s="140" t="s">
        <v>240</v>
      </c>
      <c r="E42" s="140" t="s">
        <v>250</v>
      </c>
      <c r="F42" s="148">
        <v>164</v>
      </c>
      <c r="G42" s="140" t="s">
        <v>235</v>
      </c>
      <c r="H42" s="148">
        <f t="shared" si="1"/>
        <v>0.119228</v>
      </c>
      <c r="I42" s="149">
        <f t="shared" si="2"/>
        <v>5740</v>
      </c>
      <c r="J42" s="149"/>
      <c r="K42" s="140" t="s">
        <v>236</v>
      </c>
      <c r="L42" s="177" t="s">
        <v>345</v>
      </c>
    </row>
    <row r="43" spans="1:12" ht="29.5" thickBot="1" x14ac:dyDescent="0.4">
      <c r="A43" s="150" t="s">
        <v>231</v>
      </c>
      <c r="B43" s="140" t="s">
        <v>7</v>
      </c>
      <c r="C43" s="140" t="s">
        <v>239</v>
      </c>
      <c r="D43" s="140" t="s">
        <v>240</v>
      </c>
      <c r="E43" s="140" t="s">
        <v>251</v>
      </c>
      <c r="F43" s="148">
        <v>748.8</v>
      </c>
      <c r="G43" s="140" t="s">
        <v>235</v>
      </c>
      <c r="H43" s="148">
        <f t="shared" si="1"/>
        <v>0.54437760000000002</v>
      </c>
      <c r="I43" s="149">
        <f t="shared" si="2"/>
        <v>26208</v>
      </c>
      <c r="J43" s="149"/>
      <c r="K43" s="140" t="s">
        <v>236</v>
      </c>
      <c r="L43" s="172" t="s">
        <v>358</v>
      </c>
    </row>
    <row r="44" spans="1:12" ht="58.5" thickBot="1" x14ac:dyDescent="0.4">
      <c r="A44" s="150" t="s">
        <v>231</v>
      </c>
      <c r="B44" s="143" t="s">
        <v>26</v>
      </c>
      <c r="C44" s="143" t="s">
        <v>252</v>
      </c>
      <c r="D44" s="140" t="s">
        <v>253</v>
      </c>
      <c r="E44" s="140" t="s">
        <v>254</v>
      </c>
      <c r="F44" s="148">
        <v>865762.39999999991</v>
      </c>
      <c r="G44" s="140" t="s">
        <v>235</v>
      </c>
      <c r="H44" s="148">
        <f t="shared" si="1"/>
        <v>629.40926479999996</v>
      </c>
      <c r="I44" s="149">
        <f>F44*8.37</f>
        <v>7246431.2879999988</v>
      </c>
      <c r="J44" s="149"/>
      <c r="K44" s="140" t="s">
        <v>236</v>
      </c>
      <c r="L44" s="172" t="s">
        <v>375</v>
      </c>
    </row>
    <row r="45" spans="1:12" ht="58.5" thickBot="1" x14ac:dyDescent="0.4">
      <c r="A45" s="150" t="s">
        <v>231</v>
      </c>
      <c r="B45" s="143" t="s">
        <v>26</v>
      </c>
      <c r="C45" s="143" t="s">
        <v>252</v>
      </c>
      <c r="D45" s="140" t="s">
        <v>255</v>
      </c>
      <c r="E45" s="140" t="s">
        <v>256</v>
      </c>
      <c r="F45" s="148">
        <v>50</v>
      </c>
      <c r="G45" s="140" t="s">
        <v>257</v>
      </c>
      <c r="H45" s="148">
        <v>0.1359223300970874</v>
      </c>
      <c r="I45" s="149">
        <v>4741.2621359223303</v>
      </c>
      <c r="J45" s="149">
        <v>0</v>
      </c>
      <c r="K45" s="140" t="s">
        <v>236</v>
      </c>
      <c r="L45" s="172" t="s">
        <v>375</v>
      </c>
    </row>
    <row r="46" spans="1:12" ht="29.5" thickBot="1" x14ac:dyDescent="0.4">
      <c r="A46" s="150" t="s">
        <v>231</v>
      </c>
      <c r="B46" s="140" t="s">
        <v>27</v>
      </c>
      <c r="C46" s="140" t="s">
        <v>232</v>
      </c>
      <c r="D46" s="140" t="s">
        <v>233</v>
      </c>
      <c r="E46" s="140" t="s">
        <v>258</v>
      </c>
      <c r="F46" s="148">
        <v>1059589</v>
      </c>
      <c r="G46" s="140" t="s">
        <v>235</v>
      </c>
      <c r="H46" s="148">
        <f>F46*0.000727</f>
        <v>770.32120299999997</v>
      </c>
      <c r="I46" s="149">
        <f>F46*10.75</f>
        <v>11390581.75</v>
      </c>
      <c r="J46" s="149" t="s">
        <v>259</v>
      </c>
      <c r="K46" s="140" t="s">
        <v>236</v>
      </c>
      <c r="L46" s="161" t="s">
        <v>381</v>
      </c>
    </row>
    <row r="47" spans="1:12" ht="29.5" thickBot="1" x14ac:dyDescent="0.4">
      <c r="A47" s="150" t="s">
        <v>231</v>
      </c>
      <c r="B47" s="140" t="s">
        <v>6</v>
      </c>
      <c r="C47" s="140" t="s">
        <v>232</v>
      </c>
      <c r="D47" s="140" t="s">
        <v>260</v>
      </c>
      <c r="E47" s="140" t="s">
        <v>261</v>
      </c>
      <c r="F47" s="148">
        <v>1200</v>
      </c>
      <c r="G47" s="140" t="s">
        <v>235</v>
      </c>
      <c r="H47" s="148">
        <f>F47*0.000727</f>
        <v>0.87239999999999995</v>
      </c>
      <c r="I47" s="149">
        <f>F47*11.75</f>
        <v>14100</v>
      </c>
      <c r="J47" s="149">
        <f>410*700</f>
        <v>287000</v>
      </c>
      <c r="K47" s="140" t="s">
        <v>236</v>
      </c>
      <c r="L47" s="176" t="s">
        <v>354</v>
      </c>
    </row>
    <row r="48" spans="1:12" ht="29.5" thickBot="1" x14ac:dyDescent="0.4">
      <c r="A48" s="150" t="s">
        <v>231</v>
      </c>
      <c r="B48" s="140" t="s">
        <v>6</v>
      </c>
      <c r="C48" s="140" t="s">
        <v>232</v>
      </c>
      <c r="D48" s="140" t="s">
        <v>260</v>
      </c>
      <c r="E48" s="140" t="s">
        <v>262</v>
      </c>
      <c r="F48" s="148">
        <v>9173.33</v>
      </c>
      <c r="G48" s="140" t="s">
        <v>235</v>
      </c>
      <c r="H48" s="148">
        <f>F48*0.000727</f>
        <v>6.6690109099999999</v>
      </c>
      <c r="I48" s="149">
        <f>F48*11.75</f>
        <v>107786.6275</v>
      </c>
      <c r="J48" s="149">
        <v>139320</v>
      </c>
      <c r="K48" s="140" t="s">
        <v>236</v>
      </c>
      <c r="L48" s="177" t="s">
        <v>356</v>
      </c>
    </row>
    <row r="49" spans="1:16" ht="102" thickBot="1" x14ac:dyDescent="1.3">
      <c r="A49" s="151" t="s">
        <v>263</v>
      </c>
      <c r="B49" s="140" t="s">
        <v>5</v>
      </c>
      <c r="C49" s="143" t="s">
        <v>264</v>
      </c>
      <c r="D49" s="140" t="s">
        <v>265</v>
      </c>
      <c r="E49" s="140" t="s">
        <v>266</v>
      </c>
      <c r="F49" s="148">
        <v>195</v>
      </c>
      <c r="G49" s="140" t="s">
        <v>267</v>
      </c>
      <c r="H49" s="148">
        <f>700*F49/10000000</f>
        <v>1.3650000000000001E-2</v>
      </c>
      <c r="I49" s="149">
        <f>F49*40%*75</f>
        <v>5850</v>
      </c>
      <c r="J49" s="149"/>
      <c r="K49" s="140" t="s">
        <v>213</v>
      </c>
      <c r="L49" s="177" t="s">
        <v>345</v>
      </c>
      <c r="N49" s="152"/>
    </row>
    <row r="50" spans="1:16" ht="102" thickBot="1" x14ac:dyDescent="1.3">
      <c r="A50" s="151" t="s">
        <v>263</v>
      </c>
      <c r="B50" s="140" t="s">
        <v>217</v>
      </c>
      <c r="C50" s="143" t="s">
        <v>264</v>
      </c>
      <c r="D50" s="140" t="s">
        <v>265</v>
      </c>
      <c r="E50" s="140" t="s">
        <v>268</v>
      </c>
      <c r="F50" s="148"/>
      <c r="G50" s="140"/>
      <c r="H50" s="148">
        <f>700*F50/10000000</f>
        <v>0</v>
      </c>
      <c r="I50" s="149">
        <v>29719.200000000001</v>
      </c>
      <c r="J50" s="149"/>
      <c r="K50" s="140" t="s">
        <v>213</v>
      </c>
      <c r="L50" s="174" t="s">
        <v>365</v>
      </c>
      <c r="N50" s="152"/>
    </row>
    <row r="51" spans="1:16" ht="102" thickBot="1" x14ac:dyDescent="0.4">
      <c r="A51" s="151" t="s">
        <v>263</v>
      </c>
      <c r="B51" s="143" t="s">
        <v>26</v>
      </c>
      <c r="C51" s="143" t="s">
        <v>264</v>
      </c>
      <c r="D51" s="140" t="s">
        <v>265</v>
      </c>
      <c r="E51" s="140" t="s">
        <v>269</v>
      </c>
      <c r="F51" s="148">
        <v>3020409.8450000002</v>
      </c>
      <c r="G51" s="140" t="s">
        <v>270</v>
      </c>
      <c r="H51" s="148">
        <f>700*F51/10000000</f>
        <v>211.42868915000003</v>
      </c>
      <c r="I51" s="149" t="s">
        <v>259</v>
      </c>
      <c r="J51" s="149" t="s">
        <v>259</v>
      </c>
      <c r="K51" s="140" t="s">
        <v>213</v>
      </c>
      <c r="L51" s="186" t="s">
        <v>381</v>
      </c>
    </row>
    <row r="52" spans="1:16" ht="116.5" thickBot="1" x14ac:dyDescent="0.4">
      <c r="A52" s="151" t="s">
        <v>263</v>
      </c>
      <c r="B52" s="140" t="s">
        <v>27</v>
      </c>
      <c r="C52" s="143" t="s">
        <v>264</v>
      </c>
      <c r="D52" s="140" t="s">
        <v>271</v>
      </c>
      <c r="E52" s="140" t="s">
        <v>272</v>
      </c>
      <c r="F52" s="148">
        <v>162236.79999999999</v>
      </c>
      <c r="G52" s="140" t="s">
        <v>270</v>
      </c>
      <c r="H52" s="148">
        <f>700*F52/10000000</f>
        <v>11.356575999999999</v>
      </c>
      <c r="I52" s="149"/>
      <c r="J52" s="149"/>
      <c r="K52" s="140" t="s">
        <v>213</v>
      </c>
      <c r="L52" s="161" t="s">
        <v>381</v>
      </c>
    </row>
    <row r="53" spans="1:16" ht="102" thickBot="1" x14ac:dyDescent="0.4">
      <c r="A53" s="151" t="s">
        <v>263</v>
      </c>
      <c r="B53" s="140" t="s">
        <v>273</v>
      </c>
      <c r="C53" s="143" t="s">
        <v>264</v>
      </c>
      <c r="D53" s="140" t="s">
        <v>265</v>
      </c>
      <c r="E53" s="140" t="s">
        <v>274</v>
      </c>
      <c r="F53" s="148">
        <v>12304</v>
      </c>
      <c r="G53" s="140" t="s">
        <v>270</v>
      </c>
      <c r="H53" s="148">
        <f>700*F53/1000000</f>
        <v>8.6128</v>
      </c>
      <c r="I53" s="149">
        <f>F53*40%*75</f>
        <v>369120</v>
      </c>
      <c r="J53" s="149"/>
      <c r="K53" s="140" t="s">
        <v>213</v>
      </c>
      <c r="L53" s="184" t="s">
        <v>368</v>
      </c>
      <c r="N53" s="153"/>
      <c r="P53" s="185"/>
    </row>
    <row r="54" spans="1:16" ht="102" thickBot="1" x14ac:dyDescent="0.95">
      <c r="A54" s="151" t="s">
        <v>263</v>
      </c>
      <c r="B54" s="140" t="s">
        <v>1</v>
      </c>
      <c r="C54" s="143" t="s">
        <v>264</v>
      </c>
      <c r="D54" s="140" t="s">
        <v>265</v>
      </c>
      <c r="E54" s="140" t="s">
        <v>275</v>
      </c>
      <c r="F54" s="148">
        <f>4545*650</f>
        <v>2954250</v>
      </c>
      <c r="G54" s="140" t="s">
        <v>92</v>
      </c>
      <c r="H54" s="148">
        <f>F54*0.59/1000</f>
        <v>1743.0074999999999</v>
      </c>
      <c r="I54" s="149">
        <f>4545*70</f>
        <v>318150</v>
      </c>
      <c r="J54" s="149"/>
      <c r="K54" s="140" t="s">
        <v>213</v>
      </c>
      <c r="L54" s="174" t="s">
        <v>339</v>
      </c>
      <c r="N54" s="154"/>
    </row>
    <row r="55" spans="1:16" ht="58.5" thickBot="1" x14ac:dyDescent="0.4">
      <c r="A55" s="155" t="s">
        <v>276</v>
      </c>
      <c r="B55" s="140" t="s">
        <v>1</v>
      </c>
      <c r="C55" s="140" t="s">
        <v>277</v>
      </c>
      <c r="D55" s="140" t="s">
        <v>240</v>
      </c>
      <c r="E55" s="140" t="s">
        <v>278</v>
      </c>
      <c r="F55" s="148">
        <v>2399985</v>
      </c>
      <c r="G55" s="140" t="s">
        <v>102</v>
      </c>
      <c r="H55" s="148"/>
      <c r="I55" s="149">
        <f t="shared" ref="I55:I75" si="5">F55*1100/10000</f>
        <v>263998.34999999998</v>
      </c>
      <c r="J55" s="149"/>
      <c r="K55" s="140" t="s">
        <v>279</v>
      </c>
      <c r="L55" s="174" t="s">
        <v>339</v>
      </c>
    </row>
    <row r="56" spans="1:16" ht="58.5" thickBot="1" x14ac:dyDescent="0.4">
      <c r="A56" s="155" t="s">
        <v>276</v>
      </c>
      <c r="B56" s="140" t="s">
        <v>3</v>
      </c>
      <c r="C56" s="140" t="s">
        <v>277</v>
      </c>
      <c r="D56" s="140" t="s">
        <v>240</v>
      </c>
      <c r="E56" s="140" t="s">
        <v>280</v>
      </c>
      <c r="F56" s="148">
        <f>40000*15*8</f>
        <v>4800000</v>
      </c>
      <c r="G56" s="140" t="s">
        <v>102</v>
      </c>
      <c r="H56" s="148"/>
      <c r="I56" s="149">
        <f t="shared" si="5"/>
        <v>528000</v>
      </c>
      <c r="J56" s="149"/>
      <c r="K56" s="140" t="s">
        <v>279</v>
      </c>
      <c r="L56" s="177" t="s">
        <v>342</v>
      </c>
    </row>
    <row r="57" spans="1:16" ht="58.5" thickBot="1" x14ac:dyDescent="0.4">
      <c r="A57" s="155" t="s">
        <v>276</v>
      </c>
      <c r="B57" s="140" t="s">
        <v>7</v>
      </c>
      <c r="C57" s="140" t="s">
        <v>277</v>
      </c>
      <c r="D57" s="140" t="s">
        <v>240</v>
      </c>
      <c r="E57" s="140" t="s">
        <v>315</v>
      </c>
      <c r="F57" s="148">
        <v>450000</v>
      </c>
      <c r="G57" s="140" t="s">
        <v>102</v>
      </c>
      <c r="H57" s="148"/>
      <c r="I57" s="149">
        <f t="shared" si="5"/>
        <v>49500</v>
      </c>
      <c r="J57" s="149"/>
      <c r="K57" s="140" t="s">
        <v>279</v>
      </c>
      <c r="L57" s="161" t="s">
        <v>381</v>
      </c>
    </row>
    <row r="58" spans="1:16" ht="58.5" thickBot="1" x14ac:dyDescent="0.4">
      <c r="A58" s="155" t="s">
        <v>276</v>
      </c>
      <c r="B58" s="140" t="s">
        <v>12</v>
      </c>
      <c r="C58" s="140" t="s">
        <v>277</v>
      </c>
      <c r="D58" s="140" t="s">
        <v>240</v>
      </c>
      <c r="E58" s="140" t="s">
        <v>317</v>
      </c>
      <c r="F58" s="148">
        <v>544320</v>
      </c>
      <c r="G58" s="140" t="s">
        <v>102</v>
      </c>
      <c r="H58" s="148"/>
      <c r="I58" s="149">
        <f>F58*1100/10000</f>
        <v>59875.199999999997</v>
      </c>
      <c r="J58" s="149"/>
      <c r="K58" s="140" t="s">
        <v>279</v>
      </c>
      <c r="L58" s="177" t="s">
        <v>374</v>
      </c>
    </row>
    <row r="59" spans="1:16" ht="58.5" thickBot="1" x14ac:dyDescent="0.4">
      <c r="A59" s="155" t="s">
        <v>276</v>
      </c>
      <c r="B59" s="140" t="s">
        <v>5</v>
      </c>
      <c r="C59" s="140" t="s">
        <v>277</v>
      </c>
      <c r="D59" s="140" t="s">
        <v>240</v>
      </c>
      <c r="E59" s="140" t="s">
        <v>316</v>
      </c>
      <c r="F59" s="148">
        <v>4440000</v>
      </c>
      <c r="G59" s="140" t="s">
        <v>102</v>
      </c>
      <c r="H59" s="148"/>
      <c r="I59" s="149">
        <f t="shared" si="5"/>
        <v>488400</v>
      </c>
      <c r="J59" s="149"/>
      <c r="K59" s="140" t="s">
        <v>279</v>
      </c>
      <c r="L59" s="177" t="s">
        <v>345</v>
      </c>
    </row>
    <row r="60" spans="1:16" ht="58.5" thickBot="1" x14ac:dyDescent="0.4">
      <c r="A60" s="155" t="s">
        <v>276</v>
      </c>
      <c r="B60" s="140" t="s">
        <v>3</v>
      </c>
      <c r="C60" s="140" t="s">
        <v>277</v>
      </c>
      <c r="D60" s="140" t="s">
        <v>240</v>
      </c>
      <c r="E60" s="140" t="s">
        <v>318</v>
      </c>
      <c r="F60" s="148">
        <v>1368000</v>
      </c>
      <c r="G60" s="140" t="s">
        <v>102</v>
      </c>
      <c r="H60" s="148"/>
      <c r="I60" s="149">
        <f>F60*1100/10000</f>
        <v>150480</v>
      </c>
      <c r="J60" s="149"/>
      <c r="K60" s="140" t="s">
        <v>279</v>
      </c>
      <c r="L60" s="177" t="s">
        <v>343</v>
      </c>
    </row>
    <row r="61" spans="1:16" ht="58.5" thickBot="1" x14ac:dyDescent="0.4">
      <c r="A61" s="155" t="s">
        <v>276</v>
      </c>
      <c r="B61" s="140" t="s">
        <v>3</v>
      </c>
      <c r="C61" s="140" t="s">
        <v>277</v>
      </c>
      <c r="D61" s="140" t="s">
        <v>240</v>
      </c>
      <c r="E61" s="140" t="s">
        <v>281</v>
      </c>
      <c r="F61" s="148">
        <f>3000+135000+270000+270000</f>
        <v>678000</v>
      </c>
      <c r="G61" s="140" t="s">
        <v>102</v>
      </c>
      <c r="H61" s="148"/>
      <c r="I61" s="149">
        <f t="shared" si="5"/>
        <v>74580</v>
      </c>
      <c r="J61" s="149"/>
      <c r="K61" s="140" t="s">
        <v>279</v>
      </c>
      <c r="L61" s="177" t="s">
        <v>343</v>
      </c>
    </row>
    <row r="62" spans="1:16" ht="58.5" thickBot="1" x14ac:dyDescent="0.4">
      <c r="A62" s="155" t="s">
        <v>276</v>
      </c>
      <c r="B62" s="140" t="s">
        <v>5</v>
      </c>
      <c r="C62" s="140" t="s">
        <v>277</v>
      </c>
      <c r="D62" s="140" t="s">
        <v>244</v>
      </c>
      <c r="E62" s="140" t="s">
        <v>282</v>
      </c>
      <c r="F62" s="148">
        <v>205200</v>
      </c>
      <c r="G62" s="140" t="s">
        <v>102</v>
      </c>
      <c r="H62" s="148"/>
      <c r="I62" s="149">
        <f t="shared" si="5"/>
        <v>22572</v>
      </c>
      <c r="J62" s="149"/>
      <c r="K62" s="140" t="s">
        <v>279</v>
      </c>
      <c r="L62" s="177" t="s">
        <v>345</v>
      </c>
    </row>
    <row r="63" spans="1:16" ht="58.5" thickBot="1" x14ac:dyDescent="0.4">
      <c r="A63" s="155" t="s">
        <v>276</v>
      </c>
      <c r="B63" s="140" t="s">
        <v>5</v>
      </c>
      <c r="C63" s="140" t="s">
        <v>277</v>
      </c>
      <c r="D63" s="140" t="s">
        <v>244</v>
      </c>
      <c r="E63" s="140" t="s">
        <v>283</v>
      </c>
      <c r="F63" s="148">
        <v>11702600</v>
      </c>
      <c r="G63" s="140" t="s">
        <v>102</v>
      </c>
      <c r="H63" s="148"/>
      <c r="I63" s="149">
        <f t="shared" si="5"/>
        <v>1287286</v>
      </c>
      <c r="J63" s="149"/>
      <c r="K63" s="140" t="s">
        <v>279</v>
      </c>
      <c r="L63" s="174" t="s">
        <v>347</v>
      </c>
    </row>
    <row r="64" spans="1:16" ht="58.5" thickBot="1" x14ac:dyDescent="0.4">
      <c r="A64" s="155" t="s">
        <v>276</v>
      </c>
      <c r="B64" s="140" t="s">
        <v>5</v>
      </c>
      <c r="C64" s="140" t="s">
        <v>277</v>
      </c>
      <c r="D64" s="140" t="s">
        <v>244</v>
      </c>
      <c r="E64" s="140" t="s">
        <v>284</v>
      </c>
      <c r="F64" s="148">
        <v>600000</v>
      </c>
      <c r="G64" s="140" t="s">
        <v>102</v>
      </c>
      <c r="H64" s="148"/>
      <c r="I64" s="149">
        <f t="shared" si="5"/>
        <v>66000</v>
      </c>
      <c r="J64" s="149"/>
      <c r="K64" s="140" t="s">
        <v>279</v>
      </c>
      <c r="L64" s="177" t="s">
        <v>345</v>
      </c>
    </row>
    <row r="65" spans="1:16" ht="58.5" thickBot="1" x14ac:dyDescent="0.4">
      <c r="A65" s="155" t="s">
        <v>276</v>
      </c>
      <c r="B65" s="140" t="s">
        <v>5</v>
      </c>
      <c r="C65" s="140" t="s">
        <v>277</v>
      </c>
      <c r="D65" s="140" t="s">
        <v>240</v>
      </c>
      <c r="E65" s="140" t="s">
        <v>285</v>
      </c>
      <c r="F65" s="148">
        <v>24807.69</v>
      </c>
      <c r="G65" s="140" t="s">
        <v>102</v>
      </c>
      <c r="H65" s="148"/>
      <c r="I65" s="149">
        <f t="shared" si="5"/>
        <v>2728.8458999999998</v>
      </c>
      <c r="J65" s="149"/>
      <c r="K65" s="140" t="s">
        <v>279</v>
      </c>
      <c r="L65" s="177" t="s">
        <v>345</v>
      </c>
    </row>
    <row r="66" spans="1:16" ht="58.5" thickBot="1" x14ac:dyDescent="0.4">
      <c r="A66" s="155" t="s">
        <v>276</v>
      </c>
      <c r="B66" s="140" t="s">
        <v>5</v>
      </c>
      <c r="C66" s="140" t="s">
        <v>277</v>
      </c>
      <c r="D66" s="140" t="s">
        <v>244</v>
      </c>
      <c r="E66" s="140" t="s">
        <v>286</v>
      </c>
      <c r="F66" s="148">
        <v>54720</v>
      </c>
      <c r="G66" s="140" t="s">
        <v>102</v>
      </c>
      <c r="H66" s="148"/>
      <c r="I66" s="149">
        <f t="shared" si="5"/>
        <v>6019.2</v>
      </c>
      <c r="J66" s="149"/>
      <c r="K66" s="140" t="s">
        <v>279</v>
      </c>
      <c r="L66" s="177" t="s">
        <v>345</v>
      </c>
    </row>
    <row r="67" spans="1:16" ht="58.5" thickBot="1" x14ac:dyDescent="0.4">
      <c r="A67" s="155" t="s">
        <v>276</v>
      </c>
      <c r="B67" s="140" t="s">
        <v>222</v>
      </c>
      <c r="C67" s="140" t="s">
        <v>277</v>
      </c>
      <c r="D67" s="140" t="s">
        <v>240</v>
      </c>
      <c r="E67" s="140" t="s">
        <v>287</v>
      </c>
      <c r="F67" s="148">
        <v>1618800</v>
      </c>
      <c r="G67" s="140" t="s">
        <v>102</v>
      </c>
      <c r="H67" s="148"/>
      <c r="I67" s="149">
        <f t="shared" si="5"/>
        <v>178068</v>
      </c>
      <c r="J67" s="149"/>
      <c r="K67" s="140" t="s">
        <v>279</v>
      </c>
      <c r="L67" s="174" t="s">
        <v>352</v>
      </c>
    </row>
    <row r="68" spans="1:16" ht="58.5" thickBot="1" x14ac:dyDescent="0.4">
      <c r="A68" s="155" t="s">
        <v>276</v>
      </c>
      <c r="B68" s="140" t="s">
        <v>222</v>
      </c>
      <c r="C68" s="140" t="s">
        <v>277</v>
      </c>
      <c r="D68" s="140" t="s">
        <v>240</v>
      </c>
      <c r="E68" s="140" t="s">
        <v>278</v>
      </c>
      <c r="F68" s="148">
        <v>3349080</v>
      </c>
      <c r="G68" s="140" t="s">
        <v>102</v>
      </c>
      <c r="H68" s="148"/>
      <c r="I68" s="149">
        <f t="shared" si="5"/>
        <v>368398.8</v>
      </c>
      <c r="J68" s="149"/>
      <c r="K68" s="140" t="s">
        <v>279</v>
      </c>
      <c r="L68" s="174" t="s">
        <v>352</v>
      </c>
    </row>
    <row r="69" spans="1:16" ht="58.5" thickBot="1" x14ac:dyDescent="0.4">
      <c r="A69" s="155" t="s">
        <v>276</v>
      </c>
      <c r="B69" s="140" t="s">
        <v>6</v>
      </c>
      <c r="C69" s="140" t="s">
        <v>277</v>
      </c>
      <c r="D69" s="140" t="s">
        <v>240</v>
      </c>
      <c r="E69" s="140" t="s">
        <v>261</v>
      </c>
      <c r="F69" s="148">
        <v>168000</v>
      </c>
      <c r="G69" s="140" t="s">
        <v>102</v>
      </c>
      <c r="H69" s="148"/>
      <c r="I69" s="149">
        <v>84000</v>
      </c>
      <c r="J69" s="149"/>
      <c r="K69" s="140" t="s">
        <v>279</v>
      </c>
      <c r="L69" s="176" t="s">
        <v>354</v>
      </c>
    </row>
    <row r="70" spans="1:16" ht="58.5" thickBot="1" x14ac:dyDescent="0.4">
      <c r="A70" s="155" t="s">
        <v>276</v>
      </c>
      <c r="B70" s="140" t="s">
        <v>6</v>
      </c>
      <c r="C70" s="140" t="s">
        <v>277</v>
      </c>
      <c r="D70" s="140" t="s">
        <v>240</v>
      </c>
      <c r="E70" s="140" t="s">
        <v>262</v>
      </c>
      <c r="F70" s="148">
        <v>1376000</v>
      </c>
      <c r="G70" s="140" t="s">
        <v>102</v>
      </c>
      <c r="H70" s="148"/>
      <c r="I70" s="149">
        <v>688000</v>
      </c>
      <c r="J70" s="149"/>
      <c r="K70" s="140" t="s">
        <v>279</v>
      </c>
      <c r="L70" s="177" t="s">
        <v>356</v>
      </c>
    </row>
    <row r="71" spans="1:16" ht="58.5" thickBot="1" x14ac:dyDescent="0.4">
      <c r="A71" s="155" t="s">
        <v>276</v>
      </c>
      <c r="B71" s="140" t="s">
        <v>6</v>
      </c>
      <c r="C71" s="140" t="s">
        <v>277</v>
      </c>
      <c r="D71" s="140" t="s">
        <v>240</v>
      </c>
      <c r="E71" s="140" t="s">
        <v>288</v>
      </c>
      <c r="F71" s="148">
        <v>214</v>
      </c>
      <c r="G71" s="140" t="s">
        <v>102</v>
      </c>
      <c r="H71" s="148"/>
      <c r="I71" s="149">
        <v>174046</v>
      </c>
      <c r="J71" s="149"/>
      <c r="K71" s="140" t="s">
        <v>279</v>
      </c>
      <c r="L71" s="176" t="s">
        <v>354</v>
      </c>
    </row>
    <row r="72" spans="1:16" ht="58.5" thickBot="1" x14ac:dyDescent="0.4">
      <c r="A72" s="155" t="s">
        <v>276</v>
      </c>
      <c r="B72" s="140" t="s">
        <v>273</v>
      </c>
      <c r="C72" s="140" t="s">
        <v>277</v>
      </c>
      <c r="D72" s="140" t="s">
        <v>240</v>
      </c>
      <c r="E72" s="140" t="s">
        <v>289</v>
      </c>
      <c r="F72" s="148">
        <v>3000000</v>
      </c>
      <c r="G72" s="140" t="s">
        <v>102</v>
      </c>
      <c r="H72" s="148"/>
      <c r="I72" s="149">
        <f>F72*1100/10000</f>
        <v>330000</v>
      </c>
      <c r="J72" s="149"/>
      <c r="K72" s="140" t="s">
        <v>279</v>
      </c>
      <c r="L72" s="184" t="s">
        <v>369</v>
      </c>
      <c r="P72" s="185"/>
    </row>
    <row r="73" spans="1:16" ht="58.5" thickBot="1" x14ac:dyDescent="0.4">
      <c r="A73" s="155" t="s">
        <v>276</v>
      </c>
      <c r="B73" s="140" t="s">
        <v>12</v>
      </c>
      <c r="C73" s="140" t="s">
        <v>277</v>
      </c>
      <c r="D73" s="140" t="s">
        <v>240</v>
      </c>
      <c r="E73" s="140" t="s">
        <v>290</v>
      </c>
      <c r="F73" s="148">
        <v>140000</v>
      </c>
      <c r="G73" s="140" t="s">
        <v>102</v>
      </c>
      <c r="H73" s="148"/>
      <c r="I73" s="149">
        <v>16520</v>
      </c>
      <c r="J73" s="149"/>
      <c r="K73" s="140" t="s">
        <v>279</v>
      </c>
      <c r="L73" s="177" t="s">
        <v>374</v>
      </c>
    </row>
    <row r="74" spans="1:16" ht="58.5" thickBot="1" x14ac:dyDescent="0.4">
      <c r="A74" s="155" t="s">
        <v>276</v>
      </c>
      <c r="B74" s="140" t="s">
        <v>7</v>
      </c>
      <c r="C74" s="140" t="s">
        <v>277</v>
      </c>
      <c r="D74" s="140" t="s">
        <v>240</v>
      </c>
      <c r="E74" s="140" t="s">
        <v>291</v>
      </c>
      <c r="F74" s="148">
        <v>1134000</v>
      </c>
      <c r="G74" s="140" t="s">
        <v>102</v>
      </c>
      <c r="H74" s="148"/>
      <c r="I74" s="149">
        <f t="shared" si="5"/>
        <v>124740</v>
      </c>
      <c r="J74" s="149"/>
      <c r="K74" s="140" t="s">
        <v>279</v>
      </c>
      <c r="L74" s="174" t="s">
        <v>359</v>
      </c>
    </row>
    <row r="75" spans="1:16" ht="58" x14ac:dyDescent="0.35">
      <c r="A75" s="155" t="s">
        <v>276</v>
      </c>
      <c r="B75" s="140" t="s">
        <v>10</v>
      </c>
      <c r="C75" s="140" t="s">
        <v>277</v>
      </c>
      <c r="D75" s="140" t="s">
        <v>240</v>
      </c>
      <c r="E75" s="140" t="s">
        <v>291</v>
      </c>
      <c r="F75" s="148">
        <v>1512000</v>
      </c>
      <c r="G75" s="140" t="s">
        <v>102</v>
      </c>
      <c r="H75" s="148"/>
      <c r="I75" s="149">
        <f t="shared" si="5"/>
        <v>166320</v>
      </c>
      <c r="J75" s="149"/>
      <c r="K75" s="140" t="s">
        <v>279</v>
      </c>
      <c r="L75" s="161" t="s">
        <v>381</v>
      </c>
    </row>
    <row r="76" spans="1:16" ht="58" x14ac:dyDescent="0.35">
      <c r="A76" s="155" t="s">
        <v>276</v>
      </c>
      <c r="B76" s="140" t="s">
        <v>27</v>
      </c>
      <c r="C76" s="140" t="s">
        <v>277</v>
      </c>
      <c r="D76" s="140" t="s">
        <v>240</v>
      </c>
      <c r="E76" s="140" t="s">
        <v>292</v>
      </c>
      <c r="F76" s="148">
        <f>48357*1000</f>
        <v>48357000</v>
      </c>
      <c r="G76" s="140" t="s">
        <v>102</v>
      </c>
      <c r="H76" s="148"/>
      <c r="I76" s="149">
        <f>F76*100/1000</f>
        <v>4835700</v>
      </c>
      <c r="J76" s="149"/>
      <c r="K76" s="140" t="s">
        <v>279</v>
      </c>
      <c r="L76" s="161" t="s">
        <v>381</v>
      </c>
    </row>
    <row r="77" spans="1:16" ht="58.5" thickBot="1" x14ac:dyDescent="0.4">
      <c r="A77" s="155" t="s">
        <v>276</v>
      </c>
      <c r="B77" s="140" t="s">
        <v>26</v>
      </c>
      <c r="C77" s="140" t="s">
        <v>277</v>
      </c>
      <c r="D77" s="140" t="s">
        <v>240</v>
      </c>
      <c r="E77" s="140" t="s">
        <v>293</v>
      </c>
      <c r="F77" s="148">
        <f>550605*1000</f>
        <v>550605000</v>
      </c>
      <c r="G77" s="140" t="s">
        <v>102</v>
      </c>
      <c r="H77" s="148"/>
      <c r="I77" s="149">
        <f>F77*50/1000</f>
        <v>27530250</v>
      </c>
      <c r="J77" s="149"/>
      <c r="K77" s="140" t="s">
        <v>279</v>
      </c>
      <c r="L77" s="186" t="s">
        <v>381</v>
      </c>
    </row>
    <row r="78" spans="1:16" ht="58" x14ac:dyDescent="0.35">
      <c r="A78" s="155" t="s">
        <v>276</v>
      </c>
      <c r="B78" s="140" t="s">
        <v>27</v>
      </c>
      <c r="C78" s="140" t="s">
        <v>277</v>
      </c>
      <c r="D78" s="140" t="s">
        <v>240</v>
      </c>
      <c r="E78" s="140" t="s">
        <v>293</v>
      </c>
      <c r="F78" s="148">
        <f>251537*1000</f>
        <v>251537000</v>
      </c>
      <c r="G78" s="140" t="s">
        <v>102</v>
      </c>
      <c r="H78" s="148"/>
      <c r="I78" s="149">
        <f>F78*50/1000</f>
        <v>12576850</v>
      </c>
      <c r="J78" s="149"/>
      <c r="K78" s="140" t="s">
        <v>279</v>
      </c>
      <c r="L78" s="161" t="s">
        <v>381</v>
      </c>
    </row>
    <row r="79" spans="1:16" ht="58" x14ac:dyDescent="0.35">
      <c r="A79" s="155" t="s">
        <v>276</v>
      </c>
      <c r="B79" s="140" t="s">
        <v>30</v>
      </c>
      <c r="C79" s="140" t="s">
        <v>277</v>
      </c>
      <c r="D79" s="140" t="s">
        <v>240</v>
      </c>
      <c r="E79" s="140" t="s">
        <v>293</v>
      </c>
      <c r="F79" s="148">
        <f>34098*1000</f>
        <v>34098000</v>
      </c>
      <c r="G79" s="140" t="s">
        <v>102</v>
      </c>
      <c r="H79" s="148"/>
      <c r="I79" s="149">
        <f>F79*50/1000</f>
        <v>1704900</v>
      </c>
      <c r="J79" s="149"/>
      <c r="K79" s="140" t="s">
        <v>279</v>
      </c>
      <c r="L79" s="161" t="s">
        <v>381</v>
      </c>
    </row>
    <row r="80" spans="1:16" ht="102" thickBot="1" x14ac:dyDescent="0.4">
      <c r="A80" s="151" t="s">
        <v>263</v>
      </c>
      <c r="B80" s="140" t="s">
        <v>1</v>
      </c>
      <c r="C80" s="143" t="s">
        <v>264</v>
      </c>
      <c r="D80" s="140" t="s">
        <v>265</v>
      </c>
      <c r="E80" s="140" t="s">
        <v>294</v>
      </c>
      <c r="F80" s="148">
        <f>3611*1620</f>
        <v>5849820</v>
      </c>
      <c r="G80" s="140" t="s">
        <v>92</v>
      </c>
      <c r="H80" s="148">
        <v>545.28</v>
      </c>
      <c r="I80" s="149">
        <v>1263675</v>
      </c>
      <c r="J80" s="149"/>
      <c r="K80" s="140" t="s">
        <v>213</v>
      </c>
      <c r="L80" s="174" t="s">
        <v>339</v>
      </c>
      <c r="N80" s="156"/>
    </row>
    <row r="81" spans="1:12" ht="102" thickBot="1" x14ac:dyDescent="0.4">
      <c r="A81" s="151" t="s">
        <v>263</v>
      </c>
      <c r="B81" s="140" t="s">
        <v>3</v>
      </c>
      <c r="C81" s="143" t="s">
        <v>264</v>
      </c>
      <c r="D81" s="140" t="s">
        <v>265</v>
      </c>
      <c r="E81" s="140" t="s">
        <v>295</v>
      </c>
      <c r="F81" s="148">
        <v>502</v>
      </c>
      <c r="G81" s="140" t="s">
        <v>92</v>
      </c>
      <c r="H81" s="148"/>
      <c r="I81" s="149">
        <f>F81*40%*75</f>
        <v>15060</v>
      </c>
      <c r="J81" s="149"/>
      <c r="K81" s="140" t="s">
        <v>213</v>
      </c>
      <c r="L81" s="177" t="s">
        <v>343</v>
      </c>
    </row>
    <row r="82" spans="1:12" ht="102" thickBot="1" x14ac:dyDescent="0.4">
      <c r="A82" s="151" t="s">
        <v>263</v>
      </c>
      <c r="B82" s="140" t="s">
        <v>3</v>
      </c>
      <c r="C82" s="143" t="s">
        <v>264</v>
      </c>
      <c r="D82" s="140" t="s">
        <v>265</v>
      </c>
      <c r="E82" s="140" t="s">
        <v>296</v>
      </c>
      <c r="F82" s="148">
        <f>202*5</f>
        <v>1010</v>
      </c>
      <c r="G82" s="140" t="s">
        <v>92</v>
      </c>
      <c r="H82" s="148">
        <f>F82*0.59/1000</f>
        <v>0.59589999999999999</v>
      </c>
      <c r="I82" s="149">
        <v>6060</v>
      </c>
      <c r="J82" s="149"/>
      <c r="K82" s="140" t="s">
        <v>213</v>
      </c>
      <c r="L82" s="177" t="s">
        <v>342</v>
      </c>
    </row>
    <row r="83" spans="1:12" ht="102" thickBot="1" x14ac:dyDescent="0.4">
      <c r="A83" s="151" t="s">
        <v>263</v>
      </c>
      <c r="B83" s="140" t="s">
        <v>3</v>
      </c>
      <c r="C83" s="143" t="s">
        <v>264</v>
      </c>
      <c r="D83" s="140" t="s">
        <v>265</v>
      </c>
      <c r="E83" s="140" t="s">
        <v>390</v>
      </c>
      <c r="F83" s="148">
        <f>98*1.5*20*2500/1000</f>
        <v>7350</v>
      </c>
      <c r="G83" s="140" t="s">
        <v>92</v>
      </c>
      <c r="H83" s="148">
        <f>F83*0.59/1000</f>
        <v>4.3365</v>
      </c>
      <c r="I83" s="149">
        <f>98*1.5*10.764*50</f>
        <v>79115.399999999994</v>
      </c>
      <c r="J83" s="149"/>
      <c r="K83" s="140" t="s">
        <v>213</v>
      </c>
      <c r="L83" s="176" t="s">
        <v>340</v>
      </c>
    </row>
    <row r="84" spans="1:12" ht="102" thickBot="1" x14ac:dyDescent="0.4">
      <c r="A84" s="151" t="s">
        <v>263</v>
      </c>
      <c r="B84" s="140" t="s">
        <v>24</v>
      </c>
      <c r="C84" s="143" t="s">
        <v>264</v>
      </c>
      <c r="D84" s="140" t="s">
        <v>265</v>
      </c>
      <c r="E84" s="140" t="s">
        <v>319</v>
      </c>
      <c r="F84" s="148">
        <f>4*2.34</f>
        <v>9.36</v>
      </c>
      <c r="G84" s="140" t="s">
        <v>92</v>
      </c>
      <c r="H84" s="148">
        <f>F84*8.98/1000</f>
        <v>8.4052800000000011E-2</v>
      </c>
      <c r="I84" s="149">
        <f>385*4</f>
        <v>1540</v>
      </c>
      <c r="J84" s="149"/>
      <c r="K84" s="140" t="s">
        <v>213</v>
      </c>
      <c r="L84" s="184" t="s">
        <v>353</v>
      </c>
    </row>
    <row r="85" spans="1:12" ht="102" thickBot="1" x14ac:dyDescent="0.4">
      <c r="A85" s="151" t="s">
        <v>263</v>
      </c>
      <c r="B85" s="140" t="s">
        <v>24</v>
      </c>
      <c r="C85" s="143" t="s">
        <v>264</v>
      </c>
      <c r="D85" s="140" t="s">
        <v>265</v>
      </c>
      <c r="E85" s="140" t="s">
        <v>320</v>
      </c>
      <c r="F85" s="148">
        <v>465</v>
      </c>
      <c r="G85" s="140" t="s">
        <v>92</v>
      </c>
      <c r="H85" s="148">
        <f>F85*1.89/1000</f>
        <v>0.87884999999999991</v>
      </c>
      <c r="I85" s="149">
        <f>F85*35000/1000</f>
        <v>16275</v>
      </c>
      <c r="J85" s="149"/>
      <c r="K85" s="140" t="s">
        <v>213</v>
      </c>
      <c r="L85" s="184" t="s">
        <v>353</v>
      </c>
    </row>
    <row r="86" spans="1:12" ht="102" thickBot="1" x14ac:dyDescent="0.4">
      <c r="A86" s="151" t="s">
        <v>263</v>
      </c>
      <c r="B86" s="140" t="s">
        <v>24</v>
      </c>
      <c r="C86" s="143" t="s">
        <v>264</v>
      </c>
      <c r="D86" s="140" t="s">
        <v>265</v>
      </c>
      <c r="E86" s="140" t="s">
        <v>321</v>
      </c>
      <c r="F86" s="148">
        <f>2.5*2500</f>
        <v>6250</v>
      </c>
      <c r="G86" s="140" t="s">
        <v>92</v>
      </c>
      <c r="H86" s="148">
        <f>F86*0.62/1000</f>
        <v>3.875</v>
      </c>
      <c r="I86" s="149">
        <f>2.5*3350</f>
        <v>8375</v>
      </c>
      <c r="J86" s="149"/>
      <c r="K86" s="140" t="s">
        <v>213</v>
      </c>
      <c r="L86" s="184" t="s">
        <v>353</v>
      </c>
    </row>
    <row r="87" spans="1:12" ht="102" thickBot="1" x14ac:dyDescent="0.4">
      <c r="A87" s="151" t="s">
        <v>263</v>
      </c>
      <c r="B87" s="140" t="s">
        <v>6</v>
      </c>
      <c r="C87" s="143" t="s">
        <v>264</v>
      </c>
      <c r="D87" s="140" t="s">
        <v>265</v>
      </c>
      <c r="E87" s="140" t="s">
        <v>324</v>
      </c>
      <c r="F87" s="148">
        <f>190*0.01*2100</f>
        <v>3990.0000000000005</v>
      </c>
      <c r="G87" s="140" t="s">
        <v>92</v>
      </c>
      <c r="H87" s="148">
        <f>190*16.42/1000</f>
        <v>3.1198000000000001</v>
      </c>
      <c r="I87" s="149">
        <v>130000</v>
      </c>
      <c r="J87" s="149"/>
      <c r="K87" s="140" t="s">
        <v>213</v>
      </c>
      <c r="L87" s="177" t="s">
        <v>357</v>
      </c>
    </row>
    <row r="88" spans="1:12" ht="131" thickBot="1" x14ac:dyDescent="0.4">
      <c r="A88" s="151" t="s">
        <v>263</v>
      </c>
      <c r="B88" s="140" t="s">
        <v>5</v>
      </c>
      <c r="C88" s="143" t="s">
        <v>264</v>
      </c>
      <c r="D88" s="140" t="s">
        <v>265</v>
      </c>
      <c r="E88" s="140" t="s">
        <v>297</v>
      </c>
      <c r="F88" s="148">
        <f>30.695*2400</f>
        <v>73668</v>
      </c>
      <c r="G88" s="140" t="s">
        <v>92</v>
      </c>
      <c r="H88" s="148">
        <f>F88*0.59/1000</f>
        <v>43.464119999999994</v>
      </c>
      <c r="I88" s="149">
        <v>149880</v>
      </c>
      <c r="J88" s="149"/>
      <c r="K88" s="140" t="s">
        <v>213</v>
      </c>
      <c r="L88" s="177" t="s">
        <v>346</v>
      </c>
    </row>
    <row r="89" spans="1:12" ht="102" thickBot="1" x14ac:dyDescent="0.4">
      <c r="A89" s="151" t="s">
        <v>263</v>
      </c>
      <c r="B89" s="140" t="s">
        <v>3</v>
      </c>
      <c r="C89" s="143" t="s">
        <v>264</v>
      </c>
      <c r="D89" s="140" t="s">
        <v>265</v>
      </c>
      <c r="E89" s="140" t="s">
        <v>298</v>
      </c>
      <c r="F89" s="148">
        <f>2475*5</f>
        <v>12375</v>
      </c>
      <c r="G89" s="140" t="s">
        <v>92</v>
      </c>
      <c r="H89" s="148">
        <f>F89*0.59/1000</f>
        <v>7.3012499999999996</v>
      </c>
      <c r="I89" s="149">
        <v>94050</v>
      </c>
      <c r="J89" s="149"/>
      <c r="K89" s="140" t="s">
        <v>213</v>
      </c>
      <c r="L89" s="177" t="s">
        <v>343</v>
      </c>
    </row>
    <row r="90" spans="1:12" ht="102" thickBot="1" x14ac:dyDescent="0.4">
      <c r="A90" s="151" t="s">
        <v>263</v>
      </c>
      <c r="B90" s="140" t="s">
        <v>3</v>
      </c>
      <c r="C90" s="143" t="s">
        <v>264</v>
      </c>
      <c r="D90" s="140" t="s">
        <v>265</v>
      </c>
      <c r="E90" s="140" t="s">
        <v>299</v>
      </c>
      <c r="F90" s="148">
        <f>200*10*3*365/1000</f>
        <v>2190</v>
      </c>
      <c r="G90" s="140" t="s">
        <v>92</v>
      </c>
      <c r="H90" s="148">
        <f>F90*1041.89/1000000</f>
        <v>2.2817391000000002</v>
      </c>
      <c r="I90" s="149">
        <v>192000</v>
      </c>
      <c r="J90" s="149"/>
      <c r="K90" s="140" t="s">
        <v>213</v>
      </c>
      <c r="L90" s="177" t="s">
        <v>341</v>
      </c>
    </row>
    <row r="91" spans="1:12" ht="102" thickBot="1" x14ac:dyDescent="0.4">
      <c r="A91" s="151" t="s">
        <v>263</v>
      </c>
      <c r="B91" s="140" t="s">
        <v>3</v>
      </c>
      <c r="C91" s="143" t="s">
        <v>264</v>
      </c>
      <c r="D91" s="140" t="s">
        <v>265</v>
      </c>
      <c r="E91" s="140" t="s">
        <v>387</v>
      </c>
      <c r="F91" s="148"/>
      <c r="G91" s="140" t="s">
        <v>92</v>
      </c>
      <c r="H91" s="148">
        <f>F91*1041.89/1000000</f>
        <v>0</v>
      </c>
      <c r="I91" s="149">
        <v>25000</v>
      </c>
      <c r="J91" s="149"/>
      <c r="K91" s="140" t="s">
        <v>213</v>
      </c>
      <c r="L91" s="177" t="s">
        <v>341</v>
      </c>
    </row>
    <row r="92" spans="1:12" ht="102" thickBot="1" x14ac:dyDescent="0.4">
      <c r="A92" s="151" t="s">
        <v>263</v>
      </c>
      <c r="B92" s="140" t="s">
        <v>3</v>
      </c>
      <c r="C92" s="143" t="s">
        <v>264</v>
      </c>
      <c r="D92" s="140" t="s">
        <v>265</v>
      </c>
      <c r="E92" s="140" t="s">
        <v>389</v>
      </c>
      <c r="F92" s="148">
        <v>711.48</v>
      </c>
      <c r="G92" s="140" t="s">
        <v>92</v>
      </c>
      <c r="H92" s="148">
        <f>F92*1.89/1000</f>
        <v>1.3446972000000001</v>
      </c>
      <c r="I92" s="149">
        <f>F92*90</f>
        <v>64033.200000000004</v>
      </c>
      <c r="J92" s="149"/>
      <c r="K92" s="140" t="s">
        <v>213</v>
      </c>
      <c r="L92" s="176" t="s">
        <v>340</v>
      </c>
    </row>
    <row r="93" spans="1:12" ht="102" thickBot="1" x14ac:dyDescent="0.4">
      <c r="A93" s="151" t="s">
        <v>263</v>
      </c>
      <c r="B93" s="140" t="s">
        <v>3</v>
      </c>
      <c r="C93" s="143" t="s">
        <v>264</v>
      </c>
      <c r="D93" s="140" t="s">
        <v>265</v>
      </c>
      <c r="E93" s="140" t="s">
        <v>391</v>
      </c>
      <c r="F93" s="148">
        <f>12824.09*1650</f>
        <v>21159748.5</v>
      </c>
      <c r="G93" s="140" t="s">
        <v>92</v>
      </c>
      <c r="H93" s="148">
        <f>F93*H94/F94</f>
        <v>512.36005166768985</v>
      </c>
      <c r="I93" s="149">
        <f>F93*600/1650</f>
        <v>7694454</v>
      </c>
      <c r="J93" s="149"/>
      <c r="K93" s="140" t="s">
        <v>213</v>
      </c>
      <c r="L93" s="176" t="s">
        <v>340</v>
      </c>
    </row>
    <row r="94" spans="1:12" ht="102" thickBot="1" x14ac:dyDescent="0.4">
      <c r="A94" s="151" t="s">
        <v>263</v>
      </c>
      <c r="B94" s="140" t="s">
        <v>3</v>
      </c>
      <c r="C94" s="143" t="s">
        <v>264</v>
      </c>
      <c r="D94" s="140" t="s">
        <v>265</v>
      </c>
      <c r="E94" s="140" t="s">
        <v>300</v>
      </c>
      <c r="F94" s="148">
        <f>(275+275+268+268)*1620</f>
        <v>1759320</v>
      </c>
      <c r="G94" s="140" t="s">
        <v>92</v>
      </c>
      <c r="H94" s="148">
        <v>42.6</v>
      </c>
      <c r="I94" s="149">
        <f>F94*3000/1000</f>
        <v>5277960</v>
      </c>
      <c r="J94" s="149"/>
      <c r="K94" s="140" t="s">
        <v>213</v>
      </c>
      <c r="L94" s="176" t="s">
        <v>340</v>
      </c>
    </row>
    <row r="95" spans="1:12" ht="102" thickBot="1" x14ac:dyDescent="0.4">
      <c r="A95" s="151" t="s">
        <v>263</v>
      </c>
      <c r="B95" s="140" t="s">
        <v>10</v>
      </c>
      <c r="C95" s="143" t="s">
        <v>264</v>
      </c>
      <c r="D95" s="140" t="s">
        <v>265</v>
      </c>
      <c r="E95" s="140" t="s">
        <v>301</v>
      </c>
      <c r="F95" s="148">
        <v>12.5</v>
      </c>
      <c r="G95" s="140" t="s">
        <v>92</v>
      </c>
      <c r="H95" s="148">
        <f>F95*8.98/1000</f>
        <v>0.11225</v>
      </c>
      <c r="I95" s="149"/>
      <c r="J95" s="149"/>
      <c r="K95" s="140" t="s">
        <v>213</v>
      </c>
      <c r="L95" s="174" t="s">
        <v>362</v>
      </c>
    </row>
    <row r="96" spans="1:12" ht="102" thickBot="1" x14ac:dyDescent="0.4">
      <c r="A96" s="151" t="s">
        <v>263</v>
      </c>
      <c r="B96" s="140" t="s">
        <v>10</v>
      </c>
      <c r="C96" s="143" t="s">
        <v>264</v>
      </c>
      <c r="D96" s="140" t="s">
        <v>265</v>
      </c>
      <c r="E96" s="140" t="s">
        <v>302</v>
      </c>
      <c r="F96" s="148">
        <v>3571.2000000000007</v>
      </c>
      <c r="G96" s="140" t="s">
        <v>92</v>
      </c>
      <c r="H96" s="148">
        <f>F96*0.59/1000</f>
        <v>2.1070080000000004</v>
      </c>
      <c r="I96" s="149">
        <v>3720</v>
      </c>
      <c r="J96" s="149"/>
      <c r="K96" s="140" t="s">
        <v>213</v>
      </c>
      <c r="L96" s="172" t="s">
        <v>361</v>
      </c>
    </row>
    <row r="97" spans="1:12" ht="102" thickBot="1" x14ac:dyDescent="0.4">
      <c r="A97" s="151" t="s">
        <v>263</v>
      </c>
      <c r="B97" s="140" t="s">
        <v>12</v>
      </c>
      <c r="C97" s="143" t="s">
        <v>264</v>
      </c>
      <c r="D97" s="140" t="s">
        <v>265</v>
      </c>
      <c r="E97" s="140" t="s">
        <v>329</v>
      </c>
      <c r="F97" s="148">
        <f>(192/10.764)*2500</f>
        <v>44593.088071348939</v>
      </c>
      <c r="G97" s="140" t="s">
        <v>92</v>
      </c>
      <c r="H97" s="148">
        <f>(192/10.764)*16.42/1000</f>
        <v>0.2928874024526199</v>
      </c>
      <c r="I97" s="149">
        <v>11520</v>
      </c>
      <c r="J97" s="149"/>
      <c r="K97" s="140" t="s">
        <v>213</v>
      </c>
      <c r="L97" s="177" t="s">
        <v>374</v>
      </c>
    </row>
    <row r="98" spans="1:12" ht="102" thickBot="1" x14ac:dyDescent="0.4">
      <c r="A98" s="151" t="s">
        <v>263</v>
      </c>
      <c r="B98" s="140" t="s">
        <v>12</v>
      </c>
      <c r="C98" s="143" t="s">
        <v>264</v>
      </c>
      <c r="D98" s="140" t="s">
        <v>265</v>
      </c>
      <c r="E98" s="140" t="s">
        <v>303</v>
      </c>
      <c r="F98" s="148">
        <f>40316+23.8*1620</f>
        <v>78872</v>
      </c>
      <c r="G98" s="140" t="s">
        <v>92</v>
      </c>
      <c r="H98" s="148">
        <v>3.88</v>
      </c>
      <c r="I98" s="149">
        <f>502941.768+29277+54000</f>
        <v>586218.76799999992</v>
      </c>
      <c r="J98" s="149"/>
      <c r="K98" s="140" t="s">
        <v>213</v>
      </c>
      <c r="L98" s="177" t="s">
        <v>374</v>
      </c>
    </row>
    <row r="99" spans="1:12" ht="102" thickBot="1" x14ac:dyDescent="0.4">
      <c r="A99" s="151" t="s">
        <v>263</v>
      </c>
      <c r="B99" s="140" t="s">
        <v>12</v>
      </c>
      <c r="C99" s="143" t="s">
        <v>264</v>
      </c>
      <c r="D99" s="140" t="s">
        <v>265</v>
      </c>
      <c r="E99" s="140" t="s">
        <v>304</v>
      </c>
      <c r="F99" s="148">
        <f>80.2*1620</f>
        <v>129924</v>
      </c>
      <c r="G99" s="140" t="s">
        <v>92</v>
      </c>
      <c r="H99" s="148"/>
      <c r="I99" s="149">
        <v>100263</v>
      </c>
      <c r="J99" s="149"/>
      <c r="K99" s="140" t="s">
        <v>213</v>
      </c>
      <c r="L99" s="177" t="s">
        <v>374</v>
      </c>
    </row>
    <row r="100" spans="1:12" ht="101.5" x14ac:dyDescent="0.35">
      <c r="A100" s="151" t="s">
        <v>263</v>
      </c>
      <c r="B100" s="140" t="s">
        <v>2</v>
      </c>
      <c r="C100" s="143" t="s">
        <v>264</v>
      </c>
      <c r="D100" s="140" t="s">
        <v>265</v>
      </c>
      <c r="E100" s="140" t="s">
        <v>305</v>
      </c>
      <c r="F100" s="148">
        <v>86780</v>
      </c>
      <c r="G100" s="140" t="s">
        <v>92</v>
      </c>
      <c r="H100" s="148">
        <f>F100*1.26/1000</f>
        <v>109.3428</v>
      </c>
      <c r="I100" s="149">
        <f>F100*15</f>
        <v>1301700</v>
      </c>
      <c r="J100" s="149"/>
      <c r="K100" s="140" t="s">
        <v>213</v>
      </c>
      <c r="L100" s="140" t="s">
        <v>380</v>
      </c>
    </row>
    <row r="101" spans="1:12" ht="101.5" x14ac:dyDescent="0.35">
      <c r="A101" s="151" t="s">
        <v>263</v>
      </c>
      <c r="B101" s="140" t="s">
        <v>11</v>
      </c>
      <c r="C101" s="143" t="s">
        <v>264</v>
      </c>
      <c r="D101" s="140" t="s">
        <v>265</v>
      </c>
      <c r="E101" s="140" t="s">
        <v>305</v>
      </c>
      <c r="F101" s="148">
        <v>627197.5</v>
      </c>
      <c r="G101" s="140" t="s">
        <v>92</v>
      </c>
      <c r="H101" s="148">
        <f>F101*1.26/1000</f>
        <v>790.26884999999993</v>
      </c>
      <c r="I101" s="149">
        <f>F101*15</f>
        <v>9407962.5</v>
      </c>
      <c r="J101" s="149"/>
      <c r="K101" s="140" t="s">
        <v>213</v>
      </c>
      <c r="L101" s="161" t="s">
        <v>381</v>
      </c>
    </row>
    <row r="102" spans="1:12" ht="101.5" x14ac:dyDescent="0.35">
      <c r="A102" s="151" t="s">
        <v>263</v>
      </c>
      <c r="B102" s="140" t="s">
        <v>2</v>
      </c>
      <c r="C102" s="143" t="s">
        <v>264</v>
      </c>
      <c r="D102" s="140" t="s">
        <v>265</v>
      </c>
      <c r="E102" s="140" t="s">
        <v>306</v>
      </c>
      <c r="F102" s="148">
        <v>4968019.9999999981</v>
      </c>
      <c r="G102" s="140" t="s">
        <v>92</v>
      </c>
      <c r="H102" s="148">
        <f>F102*1.23/1000</f>
        <v>6110.6645999999973</v>
      </c>
      <c r="I102" s="149">
        <f>F102*0.77</f>
        <v>3825375.3999999985</v>
      </c>
      <c r="J102" s="149"/>
      <c r="K102" s="140" t="s">
        <v>213</v>
      </c>
      <c r="L102" s="140" t="s">
        <v>380</v>
      </c>
    </row>
    <row r="103" spans="1:12" x14ac:dyDescent="0.35">
      <c r="H103" s="157">
        <f>SUM(H3:H102)</f>
        <v>12600.573574809139</v>
      </c>
      <c r="I103" s="158">
        <f>SUM(I3:I102)</f>
        <v>126702535.55869818</v>
      </c>
    </row>
    <row r="104" spans="1:12" x14ac:dyDescent="0.35">
      <c r="H104" s="157"/>
    </row>
    <row r="105" spans="1:12" ht="58" x14ac:dyDescent="0.35">
      <c r="F105" s="161"/>
      <c r="G105" s="161" t="s">
        <v>307</v>
      </c>
      <c r="H105" s="162">
        <f>SUM(H3:H102)</f>
        <v>12600.573574809139</v>
      </c>
      <c r="I105" s="146" t="s">
        <v>308</v>
      </c>
    </row>
    <row r="106" spans="1:12" ht="29" x14ac:dyDescent="0.35">
      <c r="F106" s="161"/>
      <c r="G106" s="161"/>
      <c r="H106" s="144" t="s">
        <v>331</v>
      </c>
      <c r="I106" s="158">
        <f>SUM(I3:I102)</f>
        <v>126702535.55869818</v>
      </c>
    </row>
    <row r="108" spans="1:12" x14ac:dyDescent="0.35">
      <c r="E108" s="161" t="s">
        <v>309</v>
      </c>
      <c r="F108" s="162">
        <f>SUM(F55:F79)/1000</f>
        <v>924162.72669000004</v>
      </c>
      <c r="G108" s="161" t="s">
        <v>310</v>
      </c>
    </row>
    <row r="110" spans="1:12" ht="58" x14ac:dyDescent="0.35">
      <c r="H110" s="144" t="s">
        <v>332</v>
      </c>
      <c r="I110" s="158">
        <f>I106-SUM(I55:I79)</f>
        <v>74925303.162798181</v>
      </c>
    </row>
    <row r="111" spans="1:12" ht="29" x14ac:dyDescent="0.35">
      <c r="A111" s="161" t="s">
        <v>313</v>
      </c>
      <c r="B111" s="163" t="s">
        <v>307</v>
      </c>
      <c r="C111" s="163" t="s">
        <v>330</v>
      </c>
      <c r="D111" s="163" t="s">
        <v>312</v>
      </c>
    </row>
    <row r="112" spans="1:12" x14ac:dyDescent="0.35">
      <c r="A112" s="161" t="s">
        <v>311</v>
      </c>
      <c r="B112" s="164">
        <f>SUMIFS($H$3:$H$102,$A$3:$A$102,A112)</f>
        <v>526.38017079889983</v>
      </c>
      <c r="C112" s="164">
        <f>SUMIFS($I$3:$I$102,$A$3:$A$102,A112)</f>
        <v>11190054.187162239</v>
      </c>
      <c r="D112" s="164">
        <f>SUMIFS($J$3:$J$102,$A$3:$A$102,A112)</f>
        <v>0</v>
      </c>
    </row>
    <row r="113" spans="1:6" x14ac:dyDescent="0.35">
      <c r="A113" s="161" t="s">
        <v>231</v>
      </c>
      <c r="B113" s="164">
        <f>SUMIFS($H$3:$H$102,$A$3:$A$102,A113)</f>
        <v>1915.5838326900971</v>
      </c>
      <c r="C113" s="164">
        <f>SUMIFS($I$3:$I$102,$A$3:$A$102,A113)</f>
        <v>32758172.507635925</v>
      </c>
      <c r="D113" s="164">
        <f>SUMIFS($J$3:$J$102,$A$3:$A$102,A113)</f>
        <v>5770970</v>
      </c>
    </row>
    <row r="114" spans="1:6" x14ac:dyDescent="0.35">
      <c r="A114" s="161" t="s">
        <v>276</v>
      </c>
      <c r="B114" s="164">
        <f>SUMIFS($H$3:$H$102,$A$3:$A$102,A114)</f>
        <v>0</v>
      </c>
      <c r="C114" s="164">
        <f>SUMIFS($I$3:$I$102,$A$3:$A$102,A114)</f>
        <v>51777232.395899996</v>
      </c>
      <c r="D114" s="164">
        <f>SUMIFS($J$3:$J$102,$A$3:$A$102,A114)</f>
        <v>0</v>
      </c>
      <c r="E114" s="165">
        <f>SUMIFS($F$3:$F$102,$A$3:$A$102,A114)</f>
        <v>924162726.69000006</v>
      </c>
      <c r="F114" s="161" t="s">
        <v>314</v>
      </c>
    </row>
    <row r="115" spans="1:6" x14ac:dyDescent="0.35">
      <c r="A115" s="161" t="s">
        <v>263</v>
      </c>
      <c r="B115" s="164">
        <f>SUMIFS($H$3:$H$102,$A$3:$A$102,A115)</f>
        <v>10158.609571320139</v>
      </c>
      <c r="C115" s="164">
        <f>SUMIFS($I$3:$I$102,$A$3:$A$102,A115)</f>
        <v>30977076.467999998</v>
      </c>
      <c r="D115" s="164">
        <f>SUMIFS($J$3:$J$102,$A$3:$A$102,A115)</f>
        <v>0</v>
      </c>
    </row>
    <row r="116" spans="1:6" ht="17" x14ac:dyDescent="0.5">
      <c r="B116" s="166">
        <f>SUM(B112:B115)</f>
        <v>12600.573574809136</v>
      </c>
      <c r="C116" s="167">
        <f>SUM(C112:C115)</f>
        <v>126702535.55869815</v>
      </c>
      <c r="D116" s="166">
        <f>SUM(D112:D115)</f>
        <v>5770970</v>
      </c>
    </row>
    <row r="118" spans="1:6" x14ac:dyDescent="0.35">
      <c r="B118" s="168"/>
      <c r="C118" s="168"/>
      <c r="D118" s="168"/>
    </row>
    <row r="122" spans="1:6" x14ac:dyDescent="0.35">
      <c r="A122" s="146" t="s">
        <v>26</v>
      </c>
      <c r="B122" s="265">
        <f>SUMIFS($I$3:$I$102,$B$3:$B$102,A122)</f>
        <v>34781422.550135918</v>
      </c>
    </row>
    <row r="123" spans="1:6" x14ac:dyDescent="0.35">
      <c r="A123" s="146" t="s">
        <v>27</v>
      </c>
      <c r="B123" s="265">
        <f t="shared" ref="B123:B124" si="6">SUMIFS($I$3:$I$102,$B$3:$B$102,A123)</f>
        <v>28803131.75</v>
      </c>
    </row>
    <row r="124" spans="1:6" x14ac:dyDescent="0.35">
      <c r="A124" s="146" t="s">
        <v>30</v>
      </c>
      <c r="B124" s="265">
        <f t="shared" si="6"/>
        <v>1704900</v>
      </c>
    </row>
    <row r="125" spans="1:6" x14ac:dyDescent="0.35">
      <c r="A125" s="161" t="s">
        <v>392</v>
      </c>
      <c r="B125" s="266">
        <f>SUM(B122:B124)</f>
        <v>65289454.300135918</v>
      </c>
    </row>
    <row r="126" spans="1:6" x14ac:dyDescent="0.35">
      <c r="A126" s="161" t="s">
        <v>393</v>
      </c>
      <c r="B126" s="166">
        <f>C116-B125</f>
        <v>61413081.25856223</v>
      </c>
    </row>
    <row r="127" spans="1:6" x14ac:dyDescent="0.35">
      <c r="A127" s="161"/>
      <c r="B127" s="267">
        <f>SUM(B125:B126)</f>
        <v>126702535.55869815</v>
      </c>
    </row>
  </sheetData>
  <autoFilter ref="A2:L103" xr:uid="{A08A196E-0D7B-4C53-A951-388265169901}"/>
  <mergeCells count="1">
    <mergeCell ref="A1:L1"/>
  </mergeCells>
  <hyperlinks>
    <hyperlink ref="L3" r:id="rId1" display="https://mahindraonline.sharepoint.com/:p:/r/sites/SiteSustainability/Shared Documents/General/Alcove/FY 25/Q4 - FY 25/Support Documents - Site Sustainability Maturity/Material Savings/Savings of Cost  %26 Carbon Emission.pptx?d=wbc14f0552b724035943b14b8e725cbcc&amp;csf=1&amp;web=1&amp;e=HdNNkE" xr:uid="{774CF2AB-A4DB-405A-BE6D-76A04642AB83}"/>
    <hyperlink ref="L4" r:id="rId2" display="https://mahindraonline.sharepoint.com/:p:/r/sites/SiteSustainability/Shared Documents/General/Alcove/FY 25/Q4 - FY 25/Support Documents - Site Sustainability Maturity/Material Savings/Savings of Cost  %26 Carbon Emission.pptx?d=wbc14f0552b724035943b14b8e725cbcc&amp;csf=1&amp;web=1&amp;e=HdNNkE" xr:uid="{B6F3112F-9760-458F-B235-9F7E10A04C11}"/>
    <hyperlink ref="L9" r:id="rId3" display="https://mahindraonline.sharepoint.com/:p:/r/sites/SiteSustainability/Shared Documents/General/Alcove/FY 25/Q4 - FY 25/Support Documents - Site Sustainability Maturity/Material Savings/Savings of Cost  %26 Carbon Emission.pptx?d=wbc14f0552b724035943b14b8e725cbcc&amp;csf=1&amp;web=1&amp;e=HdNNkE" xr:uid="{53904D81-C756-4907-B488-3C9197B7BE6B}"/>
    <hyperlink ref="L54" r:id="rId4" display="https://mahindraonline.sharepoint.com/:p:/r/sites/SiteSustainability/Shared Documents/General/Alcove/FY 25/Q4 - FY 25/Support Documents - Site Sustainability Maturity/Material Savings/Savings of Cost  %26 Carbon Emission.pptx?d=wbc14f0552b724035943b14b8e725cbcc&amp;csf=1&amp;web=1&amp;e=HdNNkE" xr:uid="{AFB7C846-49AF-49BE-9A4A-7C591818A645}"/>
    <hyperlink ref="L55" r:id="rId5" display="https://mahindraonline.sharepoint.com/:p:/r/sites/SiteSustainability/Shared Documents/General/Alcove/FY 25/Q4 - FY 25/Support Documents - Site Sustainability Maturity/Material Savings/Savings of Cost  %26 Carbon Emission.pptx?d=wbc14f0552b724035943b14b8e725cbcc&amp;csf=1&amp;web=1&amp;e=HdNNkE" xr:uid="{C1821D08-54B0-4AF7-9EAA-BD7B0D5430B3}"/>
    <hyperlink ref="L80" r:id="rId6" display="https://mahindraonline.sharepoint.com/:p:/r/sites/SiteSustainability/Shared Documents/General/Alcove/FY 25/Q4 - FY 25/Support Documents - Site Sustainability Maturity/Material Savings/Savings of Cost  %26 Carbon Emission.pptx?d=wbc14f0552b724035943b14b8e725cbcc&amp;csf=1&amp;web=1&amp;e=HdNNkE" xr:uid="{F1343758-BA52-47BD-A0E8-AC60B1602AB2}"/>
    <hyperlink ref="L60" r:id="rId7" display="https://mahindraonline.sharepoint.com/:p:/r/sites/SiteSustainability/Shared Documents/General/Citadel/FY 25/Q4 - FY 25/Support Documents - Site Sustainability Maturity/SUSTINAIBILITY INITIATIVES AT MAHINDRA CITADEL_Q-4 FY25.pptx?d=w4614e68083d2479c86919512c1ca3ca9&amp;csf=1&amp;web=1&amp;e=iB55X6" xr:uid="{22C05FC0-84E5-4300-A1BF-6E7A8963EF6A}"/>
    <hyperlink ref="L61" r:id="rId8" display="https://mahindraonline.sharepoint.com/:p:/r/sites/SiteSustainability/Shared Documents/General/Citadel/FY 25/Q4 - FY 25/Support Documents - Site Sustainability Maturity/SUSTINAIBILITY INITIATIVES AT MAHINDRA CITADEL_Q-4 FY25.pptx?d=w4614e68083d2479c86919512c1ca3ca9&amp;csf=1&amp;web=1&amp;e=iB55X6" xr:uid="{41D184CB-AB19-4E8D-AE19-F973F0AFB5F5}"/>
    <hyperlink ref="L81" r:id="rId9" display="https://mahindraonline.sharepoint.com/:p:/r/sites/SiteSustainability/Shared Documents/General/Citadel/FY 25/Q4 - FY 25/Support Documents - Site Sustainability Maturity/SUSTINAIBILITY INITIATIVES AT MAHINDRA CITADEL_Q-4 FY25.pptx?d=w4614e68083d2479c86919512c1ca3ca9&amp;csf=1&amp;web=1&amp;e=iB55X6" xr:uid="{5DFC7A62-79CA-411B-BF0C-E94822AB28D7}"/>
    <hyperlink ref="L33" r:id="rId10" xr:uid="{E179BCEC-9FD7-466A-8FD4-2B0E3E6FEC93}"/>
    <hyperlink ref="L94" r:id="rId11" xr:uid="{CA0E927C-9677-492E-B173-033F1772F3FA}"/>
    <hyperlink ref="L89" r:id="rId12" display="https://mahindraonline.sharepoint.com/:p:/r/sites/SiteSustainability/Shared Documents/General/Citadel/FY 25/Q4 - FY 25/Support Documents - Site Sustainability Maturity/SUSTINAIBILITY INITIATIVES AT MAHINDRA CITADEL_Q-4 FY25.pptx?d=w4614e68083d2479c86919512c1ca3ca9&amp;csf=1&amp;web=1&amp;e=iB55X6" xr:uid="{03C8C7F8-3A5A-4111-AE8E-414DA9B37884}"/>
    <hyperlink ref="L34" r:id="rId13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7D5E738F-823A-4684-B76D-B41BFE2DCAB8}"/>
    <hyperlink ref="L35" r:id="rId14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50737159-868E-47D4-A7F0-3B6379934805}"/>
    <hyperlink ref="L36" r:id="rId15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F87C49B4-4924-4ED5-8CE4-347F2253FC9C}"/>
    <hyperlink ref="L39" r:id="rId16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0182D302-965D-4D65-9DCD-CB9D6AD3FC22}"/>
    <hyperlink ref="L40" r:id="rId17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91CC215E-9F2C-4402-93AF-C7748F99776A}"/>
    <hyperlink ref="L41" r:id="rId18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F7DABE0E-AFAC-4710-BFA9-DFE11A1DE660}"/>
    <hyperlink ref="L42" r:id="rId19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DE5E5EAC-7394-4C47-8182-29F86BE76FAA}"/>
    <hyperlink ref="L49" r:id="rId20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F5629EEE-402F-414D-800B-68E3BE39F58A}"/>
    <hyperlink ref="L59" r:id="rId21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E1C4FD5C-53F4-49D9-ADFD-A8DB4FFED945}"/>
    <hyperlink ref="L62" r:id="rId22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6F76E419-D2BC-4A38-ADE0-C626445FF0A6}"/>
    <hyperlink ref="L64" r:id="rId23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2176A0A3-337A-4C37-8F55-D74B119127B1}"/>
    <hyperlink ref="L65" r:id="rId24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9DBB73E0-33F4-4244-A2D1-2915575E53A5}"/>
    <hyperlink ref="L66" r:id="rId25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B2F795AD-8773-47CC-BD2B-61ED84B4A003}"/>
    <hyperlink ref="L88" r:id="rId26" display="https://mahindraonline.sharepoint.com/:x:/r/sites/SiteSustainability/Shared Documents/General/Eden/FY 25/Q4 - FY 25/Support Documents - Site Sustainability Maturity/Waste reusage - Eden.xlsx?d=wf84f47029c7d4b54baaf678fcb1f57f4&amp;csf=1&amp;web=1&amp;e=OHcQqx" xr:uid="{0B3CBB7A-12D2-4762-B4DD-873BEE8B899F}"/>
    <hyperlink ref="L63" r:id="rId27" display="https://mahindraonline.sharepoint.com/:x:/r/sites/SiteSustainability/Shared Documents/General/Eden/FY 25/Q4 - FY 25/Support Documents - Site Sustainability Maturity/Water consumption savings- Eden.xlsx?d=w1cb3ef4cbbdc49f29148739ba66ae54e&amp;csf=1&amp;web=1&amp;e=80ItaH" xr:uid="{5A2734EF-577E-4B71-9CD9-A5A62F8DBC10}"/>
    <hyperlink ref="L17" r:id="rId28" xr:uid="{F16183B9-D8A4-42D7-97F5-4EA6E61DE44E}"/>
    <hyperlink ref="L37" r:id="rId29" xr:uid="{CBFA58B2-6991-47BD-B5F0-B862427B1EEE}"/>
    <hyperlink ref="L67" r:id="rId30" xr:uid="{DF36E30D-DFCA-46AC-81AD-3342004C1822}"/>
    <hyperlink ref="L68" r:id="rId31" xr:uid="{91E0E5BF-F281-4D8A-A915-128414925671}"/>
    <hyperlink ref="L38" r:id="rId32" display="https://mahindraonline.sharepoint.com/:p:/r/sites/SiteSustainability/Shared Documents/General/Happinest Kalyan 2 (Miracle)/FY 25/Q2 - FY 25/Support Documents - Site Sustainability Maturity/Site Initiatives/Manual Hydraulic forklift Kaizen -HK2.pptx?d=w76708a5be7e84b25add823bed0135b88&amp;csf=1&amp;web=1&amp;e=K1HuLo" xr:uid="{23045AB6-A98E-4837-B283-513DCF747721}"/>
    <hyperlink ref="L84" r:id="rId33" display="https://mahindraonline.sharepoint.com/:x:/r/sites/SiteSustainability/Shared Documents/General/Happinest Palghar/FY 25/Q4 - FY 25/Support Documents - Site Sustainability Maturity/Project Initiatives %26 Tracking - Template.xlsx?d=wa44ce54c9c1f40a7ab09afe9210a51dd&amp;csf=1&amp;web=1&amp;e=xp8qS1" xr:uid="{4FD8DDF5-0034-4846-84BF-589E82547D65}"/>
    <hyperlink ref="L85" r:id="rId34" display="https://mahindraonline.sharepoint.com/:x:/r/sites/SiteSustainability/Shared Documents/General/Happinest Palghar/FY 25/Q4 - FY 25/Support Documents - Site Sustainability Maturity/Project Initiatives %26 Tracking - Template.xlsx?d=wa44ce54c9c1f40a7ab09afe9210a51dd&amp;csf=1&amp;web=1&amp;e=xp8qS1" xr:uid="{03296F82-45B8-4C66-97B1-1133CB7D8737}"/>
    <hyperlink ref="L86" r:id="rId35" display="https://mahindraonline.sharepoint.com/:x:/r/sites/SiteSustainability/Shared Documents/General/Happinest Palghar/FY 25/Q4 - FY 25/Support Documents - Site Sustainability Maturity/Project Initiatives %26 Tracking - Template.xlsx?d=wa44ce54c9c1f40a7ab09afe9210a51dd&amp;csf=1&amp;web=1&amp;e=xp8qS1" xr:uid="{AA60DE7C-9511-47E5-A6F5-B43321226A30}"/>
    <hyperlink ref="L7" r:id="rId36" display="https://mahindraonline.sharepoint.com/:p:/r/sites/SiteSustainability/Shared Documents/General/Lakewoods/FY 25/Q4 - FY 25/Support Documents - Site Sustainability Maturity/Site Initiatives- Q4 (FY24-25).pptx?d=w5649a814134647d9806cc7c7889cf80a&amp;csf=1&amp;web=1&amp;e=bw87Xs" xr:uid="{D640A927-1315-4914-BB81-04D2DEA750F3}"/>
    <hyperlink ref="L6" r:id="rId37" display="https://mahindraonline.sharepoint.com/:p:/r/sites/SiteSustainability/Shared Documents/General/Lakewoods/FY 25/Q4 - FY 25/Support Documents - Site Sustainability Maturity/Site Initiatives- Q4 (FY24-25).pptx?d=w5649a814134647d9806cc7c7889cf80a&amp;csf=1&amp;web=1&amp;e=bw87Xs" xr:uid="{F8639C14-08DD-4943-976C-99224845B1C4}"/>
    <hyperlink ref="L47" r:id="rId38" xr:uid="{9D417A88-A5C8-400D-87DC-5F00AA2E7FAC}"/>
    <hyperlink ref="L71" r:id="rId39" xr:uid="{E00EBB40-7369-46F9-BFCA-D89BBF8C3511}"/>
    <hyperlink ref="L69" r:id="rId40" xr:uid="{A9B4D5CA-56FB-465A-8393-BA82C42A3D2E}"/>
    <hyperlink ref="L21" r:id="rId41" xr:uid="{AB466596-EEF3-4B35-8706-8871B1814C88}"/>
    <hyperlink ref="L8" r:id="rId42" xr:uid="{1C39E76D-6456-4833-B487-4787D27E8497}"/>
    <hyperlink ref="L18" r:id="rId43" xr:uid="{3138C224-3999-4FEE-9F39-AF5992AB096E}"/>
    <hyperlink ref="L22" r:id="rId44" xr:uid="{1478DEEE-361C-4581-80A4-AA1954A630D7}"/>
    <hyperlink ref="L48" r:id="rId45" xr:uid="{48000AE2-DFD9-4AB2-8467-21FC6E3399FD}"/>
    <hyperlink ref="L70" r:id="rId46" xr:uid="{E9197D7F-9CA6-4EA8-BFE6-CCC63F3E73D2}"/>
    <hyperlink ref="L23" r:id="rId47" xr:uid="{BBB00243-0370-404F-9720-B0E833A4C8CF}"/>
    <hyperlink ref="L24" r:id="rId48" xr:uid="{5EE21A66-3939-4165-B25B-CC398F60EFBA}"/>
    <hyperlink ref="L25" r:id="rId49" xr:uid="{0CEE8D5F-7133-4182-8414-7B57559885C3}"/>
    <hyperlink ref="L87" r:id="rId50" xr:uid="{87B0D228-204C-41B5-9CCF-3820019E4C31}"/>
    <hyperlink ref="L5" r:id="rId51" xr:uid="{B17BEBA9-B690-4176-922B-651D88A0D269}"/>
    <hyperlink ref="L26" r:id="rId52" xr:uid="{A0B1C323-385B-490E-98BA-1BDAD0D3E8E0}"/>
    <hyperlink ref="L43" r:id="rId53" display="https://mahindraonline.sharepoint.com/:x:/r/sites/SiteSustainability/Shared Documents/General/Luminare/FY 25/Q3 - FY 25/Support Documents - Site Sustainability Maturity/Fan Energy Saving Comparision.xlsx?d=we428ca5d6b3440799210bfcb61b32a71&amp;csf=1&amp;web=1&amp;e=HzaiYz" xr:uid="{0BE24F06-2D92-46D3-AB9D-50D30A03C8E2}"/>
    <hyperlink ref="L74" r:id="rId54" display="https://mahindraonline.sharepoint.com/:w:/r/sites/SiteSustainability/Shared Documents/General/Luminare/FY 25/Q3 - FY 25/Support Documents - Site Sustainability Maturity/SUSTAINABILITY CASE STUDY- Water Saving by using Curing Compound.docx?d=w0f0f860c09f9445ea72f1541068aab58&amp;csf=1&amp;web=1&amp;e=XwyBIG" xr:uid="{F136335E-5EE8-43A2-BD2C-35A053D53B83}"/>
    <hyperlink ref="L44:L45" r:id="rId55" display="https://mahindraonline-my.sharepoint.com/:p:/r/personal/23257081_mahindra_com/Documents/MSPIRE 2025/MWC Chennai_Tech Innovation for a journey towards Carbon Neutrality_Rise for a more equal world_Planet+ve.pptx?d=wc23886449b364445b8a2564bb317fb32&amp;csf=1&amp;web=1&amp;e=HTbJGY" xr:uid="{550BAEFC-93A3-4E44-89B9-4721F13D2F8F}"/>
    <hyperlink ref="L77" r:id="rId56" display="https://mahindraonline-my.sharepoint.com/:p:/r/personal/23257081_mahindra_com/Documents/MSPIRE 2025/MWC Chennai_Tech Innovation for a journey towards Carbon Neutrality_Rise for a more equal world_Planet+ve.pptx?d=wc23886449b364445b8a2564bb317fb32&amp;csf=1&amp;web=1&amp;e=HTbJGY" xr:uid="{D066569D-51F8-4156-8C68-BB2DEB45FB66}"/>
    <hyperlink ref="L51" r:id="rId57" display="https://mahindraonline-my.sharepoint.com/:p:/r/personal/23257081_mahindra_com/Documents/MSPIRE 2025/MWC Chennai_Tech Innovation for a journey towards Carbon Neutrality_Rise for a more equal world_Planet+ve.pptx?d=wc23886449b364445b8a2564bb317fb32&amp;csf=1&amp;web=1&amp;e=HTbJGY" xr:uid="{8FFC74DC-001A-437E-AB00-3041A84C08A0}"/>
    <hyperlink ref="L96" r:id="rId58" display="https://mahindraonline.sharepoint.com/:x:/r/sites/SiteSustainability/Shared Documents/General/Nestalgia/FY 25/Q1 - FY 25/Support Documents - Site Sustainability Maturity/Q1-FY-25-Audit/Project Initiatives Q1-25/Cost Savings on Watta making.xlsx?d=w0984d2eef7764e5aac47b5a2c4543e78&amp;csf=1&amp;web=1&amp;e=2vBxt4" xr:uid="{AB4D72D5-42AA-4203-81DD-74F0DB9AA75E}"/>
    <hyperlink ref="L95" r:id="rId59" display="https://mahindraonline.sharepoint.com/:x:/r/sites/SiteSustainability/Shared Documents/General/Nestalgia/FY 25/Q1 - FY 25/Support Documents - Site Sustainability Maturity/Q1-FY-25-Audit/Project Initiatives Q1-25/Office Const. Savings.xlsx?d=w9e8677b4f6b9417fb2f64bd08b31a1c5&amp;csf=1&amp;web=1&amp;e=0V9srF" xr:uid="{CD5E9F73-C63F-49A4-91D6-818DDE2AEAE5}"/>
    <hyperlink ref="L10" r:id="rId60" xr:uid="{C95A3569-3AE4-4DBC-95D5-B5D77B6CB795}"/>
    <hyperlink ref="L14" r:id="rId61" xr:uid="{82542C32-0198-4A3F-825E-57B68264EF23}"/>
    <hyperlink ref="L15" r:id="rId62" xr:uid="{CC1AC17B-6DF2-4CC5-8F52-7EC2E15149FA}"/>
    <hyperlink ref="L16" r:id="rId63" xr:uid="{CF35AA96-43EA-45A1-B56A-B5E9F4BE1A1D}"/>
    <hyperlink ref="L50" r:id="rId64" xr:uid="{CE0CE0D6-02B8-4561-A2A8-26AE10C6E951}"/>
    <hyperlink ref="L11" r:id="rId65" xr:uid="{5B56FF52-83AE-4EB1-8348-F888197D30CC}"/>
    <hyperlink ref="L29" r:id="rId66" xr:uid="{3FFD98A6-E641-4112-8A53-A447751807DF}"/>
    <hyperlink ref="L30" r:id="rId67" xr:uid="{8E8B981D-F9B0-42EF-9435-5379C529199B}"/>
    <hyperlink ref="L12" r:id="rId68" xr:uid="{D2D7A796-AB51-47B3-A01E-FD52A19F5706}"/>
    <hyperlink ref="L13" r:id="rId69" xr:uid="{4B03FB4F-2D9F-43A6-A4FD-13448FACBB81}"/>
    <hyperlink ref="L53" r:id="rId70" display="https://mahindraonline.sharepoint.com/:p:/r/sites/SiteSustainability/Shared Documents/General/Happinest Tathawade/FY 25/Q4 - FY 25/Support Documents - Site Sustainability Maturity/Site initiative -1.pptx?d=w61225abd3acc4e04ac6efe1007f4fca6&amp;csf=1&amp;web=1&amp;e=x3GQh1" xr:uid="{05430682-C716-47B6-A3DC-E999F2591272}"/>
    <hyperlink ref="L72" r:id="rId71" display="https://mahindraonline.sharepoint.com/:p:/r/sites/SiteSustainability/Shared Documents/General/Happinest Tathawade/FY 25/Q1 - FY 25/Support Documents - Site Sustainability Maturity/Water Saving by storage in UGT in Monsoon.pptx?d=wc61e569963a54574b1d43e66942555cd&amp;csf=1&amp;web=1&amp;e=7l63EI" xr:uid="{C2761188-BC45-4EDC-835A-380528786FA1}"/>
    <hyperlink ref="L19" r:id="rId72" display="https://mahindraonline.sharepoint.com/:p:/r/sites/SiteSustainability/Shared Documents/General/Zen/FY 25/FY 25/Q4 - FY 25/Support Documents - Site Sustainability Maturity/Zen Site initiatives.pptx?d=w913bb62b6cf742b696c6fd18d6803c9c&amp;csf=1&amp;web=1&amp;e=GHPTwn" xr:uid="{F9ABC0A5-F0B2-4406-B15C-7316F629D3F7}"/>
    <hyperlink ref="L20" r:id="rId73" display="https://mahindraonline.sharepoint.com/:p:/r/sites/SiteSustainability/Shared Documents/General/Zen/FY 25/FY 25/Q4 - FY 25/Support Documents - Site Sustainability Maturity/Zen Site initiatives.pptx?d=w913bb62b6cf742b696c6fd18d6803c9c&amp;csf=1&amp;web=1&amp;e=GHPTwn" xr:uid="{85AE4AF1-BA5A-4979-9693-CC6FADD2EB19}"/>
    <hyperlink ref="L58" r:id="rId74" display="https://mahindraonline.sharepoint.com/:p:/r/sites/SiteSustainability/Shared Documents/General/Zen/FY 25/FY 25/Q4 - FY 25/Support Documents - Site Sustainability Maturity/Zen Site initiatives.pptx?d=w913bb62b6cf742b696c6fd18d6803c9c&amp;csf=1&amp;web=1&amp;e=GHPTwn" xr:uid="{B2ECC6FB-DE03-4C22-9064-4AF76ED94176}"/>
    <hyperlink ref="L73" r:id="rId75" display="https://mahindraonline.sharepoint.com/:p:/r/sites/SiteSustainability/Shared Documents/General/Zen/FY 25/FY 25/Q4 - FY 25/Support Documents - Site Sustainability Maturity/Zen Site initiatives.pptx?d=w913bb62b6cf742b696c6fd18d6803c9c&amp;csf=1&amp;web=1&amp;e=GHPTwn" xr:uid="{49B1D94F-F8E0-49C8-8CCF-ECF9A81847E8}"/>
    <hyperlink ref="L97" r:id="rId76" display="https://mahindraonline.sharepoint.com/:p:/r/sites/SiteSustainability/Shared Documents/General/Zen/FY 25/FY 25/Q4 - FY 25/Support Documents - Site Sustainability Maturity/Zen Site initiatives.pptx?d=w913bb62b6cf742b696c6fd18d6803c9c&amp;csf=1&amp;web=1&amp;e=GHPTwn" xr:uid="{0DDD8119-D478-4D10-B005-DAF14CE5975F}"/>
    <hyperlink ref="L98" r:id="rId77" display="https://mahindraonline.sharepoint.com/:p:/r/sites/SiteSustainability/Shared Documents/General/Zen/FY 25/FY 25/Q4 - FY 25/Support Documents - Site Sustainability Maturity/Zen Site initiatives.pptx?d=w913bb62b6cf742b696c6fd18d6803c9c&amp;csf=1&amp;web=1&amp;e=GHPTwn" xr:uid="{72D8E59A-064C-4A3E-ACC1-214855D47553}"/>
    <hyperlink ref="L99" r:id="rId78" display="https://mahindraonline.sharepoint.com/:p:/r/sites/SiteSustainability/Shared Documents/General/Zen/FY 25/FY 25/Q4 - FY 25/Support Documents - Site Sustainability Maturity/Zen Site initiatives.pptx?d=w913bb62b6cf742b696c6fd18d6803c9c&amp;csf=1&amp;web=1&amp;e=GHPTwn" xr:uid="{304E24D2-8EE6-44FA-BBB8-873BB898051E}"/>
    <hyperlink ref="L90" r:id="rId79" xr:uid="{36BF207B-AFD1-4385-B7E7-2FC81348910F}"/>
    <hyperlink ref="L32" r:id="rId80" xr:uid="{12133746-F114-4737-9E8C-37AB92CA8110}"/>
    <hyperlink ref="L91" r:id="rId81" xr:uid="{F1860A04-C0EC-4EF3-A517-30C14CF98808}"/>
    <hyperlink ref="L92" r:id="rId82" xr:uid="{43F6EEDC-AD7D-4EFB-A210-4B558BC1999B}"/>
    <hyperlink ref="L83" r:id="rId83" xr:uid="{7D96E4E2-9017-47CC-B187-DDCAA7CF6057}"/>
    <hyperlink ref="L82" r:id="rId84" xr:uid="{45114DB5-437D-47C6-8610-A0E1BE5842A4}"/>
    <hyperlink ref="L56" r:id="rId85" xr:uid="{47155E6C-1DFA-4241-B14B-04305C235296}"/>
    <hyperlink ref="L93" r:id="rId86" xr:uid="{2EB6495D-2FC7-4F52-9F24-0BA89696E648}"/>
  </hyperlinks>
  <pageMargins left="0.7" right="0.7" top="0.75" bottom="0.75" header="0.3" footer="0.3"/>
  <legacyDrawing r:id="rId87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C9F31-2F5E-4EF0-AF45-8ECE805DDB4A}">
  <dimension ref="A1:H17"/>
  <sheetViews>
    <sheetView workbookViewId="0">
      <selection activeCell="D4" sqref="D4"/>
    </sheetView>
  </sheetViews>
  <sheetFormatPr defaultColWidth="19.453125" defaultRowHeight="14.5" x14ac:dyDescent="0.35"/>
  <cols>
    <col min="1" max="1" width="19.453125" style="160"/>
    <col min="2" max="2" width="31.54296875" style="160" customWidth="1"/>
    <col min="3" max="16384" width="19.453125" style="160"/>
  </cols>
  <sheetData>
    <row r="1" spans="1:8" ht="17.5" thickBot="1" x14ac:dyDescent="0.4">
      <c r="A1" s="170" t="s">
        <v>377</v>
      </c>
      <c r="B1" s="171" t="s">
        <v>335</v>
      </c>
      <c r="C1" s="173" t="s">
        <v>336</v>
      </c>
      <c r="D1" s="173" t="s">
        <v>337</v>
      </c>
      <c r="E1" s="173" t="s">
        <v>338</v>
      </c>
      <c r="F1" s="175"/>
      <c r="G1" s="175"/>
    </row>
    <row r="2" spans="1:8" ht="29.5" thickBot="1" x14ac:dyDescent="0.4">
      <c r="A2" s="182" t="s">
        <v>1</v>
      </c>
      <c r="B2" s="172" t="s">
        <v>339</v>
      </c>
      <c r="C2" s="174" t="s">
        <v>339</v>
      </c>
      <c r="D2" s="174" t="s">
        <v>339</v>
      </c>
      <c r="E2" s="174" t="s">
        <v>339</v>
      </c>
      <c r="F2" s="179"/>
      <c r="G2" s="181"/>
    </row>
    <row r="3" spans="1:8" ht="15" thickBot="1" x14ac:dyDescent="0.4">
      <c r="A3" s="182" t="s">
        <v>2</v>
      </c>
      <c r="B3" s="263" t="s">
        <v>378</v>
      </c>
      <c r="C3" s="263"/>
      <c r="D3" s="263"/>
      <c r="E3" s="263"/>
      <c r="F3" s="263"/>
      <c r="G3" s="264"/>
    </row>
    <row r="4" spans="1:8" ht="58.5" thickBot="1" x14ac:dyDescent="0.4">
      <c r="A4" s="182" t="s">
        <v>3</v>
      </c>
      <c r="B4" s="176" t="s">
        <v>340</v>
      </c>
      <c r="C4" s="177" t="s">
        <v>341</v>
      </c>
      <c r="D4" s="177" t="s">
        <v>342</v>
      </c>
      <c r="E4" s="177" t="s">
        <v>343</v>
      </c>
      <c r="F4" s="178"/>
      <c r="G4" s="179"/>
    </row>
    <row r="5" spans="1:8" ht="44" thickBot="1" x14ac:dyDescent="0.4">
      <c r="A5" s="182" t="s">
        <v>5</v>
      </c>
      <c r="B5" s="176" t="s">
        <v>344</v>
      </c>
      <c r="C5" s="177" t="s">
        <v>345</v>
      </c>
      <c r="D5" s="177" t="s">
        <v>344</v>
      </c>
      <c r="E5" s="177" t="s">
        <v>344</v>
      </c>
      <c r="F5" s="177" t="s">
        <v>346</v>
      </c>
      <c r="G5" s="174" t="s">
        <v>347</v>
      </c>
    </row>
    <row r="6" spans="1:8" ht="44" thickBot="1" x14ac:dyDescent="0.4">
      <c r="A6" s="182" t="s">
        <v>222</v>
      </c>
      <c r="B6" s="172" t="s">
        <v>348</v>
      </c>
      <c r="C6" s="174" t="s">
        <v>349</v>
      </c>
      <c r="D6" s="174" t="s">
        <v>352</v>
      </c>
      <c r="E6" s="174" t="s">
        <v>349</v>
      </c>
      <c r="F6" s="174" t="s">
        <v>350</v>
      </c>
      <c r="G6" s="174" t="s">
        <v>351</v>
      </c>
      <c r="H6" s="169"/>
    </row>
    <row r="7" spans="1:8" ht="15" customHeight="1" thickBot="1" x14ac:dyDescent="0.4">
      <c r="A7" s="182" t="s">
        <v>24</v>
      </c>
      <c r="B7" s="260" t="s">
        <v>353</v>
      </c>
      <c r="C7" s="261"/>
      <c r="D7" s="261"/>
      <c r="E7" s="261"/>
      <c r="F7" s="261"/>
      <c r="G7" s="262"/>
    </row>
    <row r="8" spans="1:8" ht="29.5" thickBot="1" x14ac:dyDescent="0.4">
      <c r="A8" s="182" t="s">
        <v>6</v>
      </c>
      <c r="B8" s="176" t="s">
        <v>354</v>
      </c>
      <c r="C8" s="177" t="s">
        <v>355</v>
      </c>
      <c r="D8" s="177" t="s">
        <v>356</v>
      </c>
      <c r="E8" s="177" t="s">
        <v>357</v>
      </c>
      <c r="F8" s="178"/>
      <c r="G8" s="179"/>
    </row>
    <row r="9" spans="1:8" ht="58.5" thickBot="1" x14ac:dyDescent="0.4">
      <c r="A9" s="182" t="s">
        <v>7</v>
      </c>
      <c r="B9" s="172" t="s">
        <v>358</v>
      </c>
      <c r="C9" s="174" t="s">
        <v>359</v>
      </c>
      <c r="D9" s="174" t="s">
        <v>360</v>
      </c>
      <c r="E9" s="180"/>
      <c r="F9" s="179"/>
      <c r="G9" s="179"/>
    </row>
    <row r="10" spans="1:8" ht="29.5" thickBot="1" x14ac:dyDescent="0.4">
      <c r="A10" s="182" t="s">
        <v>10</v>
      </c>
      <c r="B10" s="172" t="s">
        <v>361</v>
      </c>
      <c r="C10" s="174" t="s">
        <v>362</v>
      </c>
      <c r="D10" s="174" t="s">
        <v>363</v>
      </c>
      <c r="E10" s="179"/>
      <c r="F10" s="179"/>
      <c r="G10" s="179"/>
    </row>
    <row r="11" spans="1:8" ht="29.5" thickBot="1" x14ac:dyDescent="0.4">
      <c r="A11" s="182" t="s">
        <v>217</v>
      </c>
      <c r="B11" s="172" t="s">
        <v>364</v>
      </c>
      <c r="C11" s="174" t="s">
        <v>365</v>
      </c>
      <c r="D11" s="174" t="s">
        <v>366</v>
      </c>
      <c r="E11" s="174" t="s">
        <v>367</v>
      </c>
      <c r="F11" s="179"/>
      <c r="G11" s="179"/>
    </row>
    <row r="12" spans="1:8" ht="15" thickBot="1" x14ac:dyDescent="0.4">
      <c r="A12" s="182" t="s">
        <v>273</v>
      </c>
      <c r="B12" s="260" t="s">
        <v>369</v>
      </c>
      <c r="C12" s="262"/>
      <c r="D12" s="260" t="s">
        <v>368</v>
      </c>
      <c r="E12" s="262"/>
      <c r="F12" s="179"/>
      <c r="G12" s="179"/>
    </row>
    <row r="13" spans="1:8" ht="15" thickBot="1" x14ac:dyDescent="0.4">
      <c r="A13" s="182" t="s">
        <v>11</v>
      </c>
      <c r="B13" s="258" t="s">
        <v>370</v>
      </c>
      <c r="C13" s="258"/>
      <c r="D13" s="258"/>
      <c r="E13" s="258"/>
      <c r="F13" s="258"/>
      <c r="G13" s="259"/>
    </row>
    <row r="14" spans="1:8" ht="29.5" thickBot="1" x14ac:dyDescent="0.4">
      <c r="A14" s="182" t="s">
        <v>12</v>
      </c>
      <c r="B14" s="176" t="s">
        <v>371</v>
      </c>
      <c r="C14" s="177" t="s">
        <v>372</v>
      </c>
      <c r="D14" s="177" t="s">
        <v>373</v>
      </c>
      <c r="E14" s="177" t="s">
        <v>374</v>
      </c>
      <c r="F14" s="178"/>
      <c r="G14" s="179"/>
    </row>
    <row r="15" spans="1:8" ht="58.5" thickBot="1" x14ac:dyDescent="0.4">
      <c r="A15" s="182" t="s">
        <v>26</v>
      </c>
      <c r="B15" s="172" t="s">
        <v>375</v>
      </c>
      <c r="C15" s="258" t="s">
        <v>370</v>
      </c>
      <c r="D15" s="258"/>
      <c r="E15" s="258"/>
      <c r="F15" s="258"/>
      <c r="G15" s="259"/>
    </row>
    <row r="16" spans="1:8" ht="58.5" thickBot="1" x14ac:dyDescent="0.4">
      <c r="A16" s="182" t="s">
        <v>27</v>
      </c>
      <c r="B16" s="172" t="s">
        <v>376</v>
      </c>
      <c r="C16" s="258" t="s">
        <v>370</v>
      </c>
      <c r="D16" s="258"/>
      <c r="E16" s="258"/>
      <c r="F16" s="258"/>
      <c r="G16" s="259"/>
    </row>
    <row r="17" spans="1:7" ht="15" thickBot="1" x14ac:dyDescent="0.4">
      <c r="A17" s="182" t="s">
        <v>30</v>
      </c>
      <c r="B17" s="258" t="s">
        <v>370</v>
      </c>
      <c r="C17" s="258"/>
      <c r="D17" s="258"/>
      <c r="E17" s="258"/>
      <c r="F17" s="258"/>
      <c r="G17" s="259"/>
    </row>
  </sheetData>
  <sortState xmlns:xlrd2="http://schemas.microsoft.com/office/spreadsheetml/2017/richdata2" ref="D2:D14">
    <sortCondition ref="D2:D14"/>
  </sortState>
  <mergeCells count="8">
    <mergeCell ref="B3:G3"/>
    <mergeCell ref="B13:G13"/>
    <mergeCell ref="C16:G16"/>
    <mergeCell ref="C15:G15"/>
    <mergeCell ref="B17:G17"/>
    <mergeCell ref="B7:G7"/>
    <mergeCell ref="B12:C12"/>
    <mergeCell ref="D12:E12"/>
  </mergeCells>
  <hyperlinks>
    <hyperlink ref="B2" r:id="rId1" display="https://mahindraonline.sharepoint.com/:p:/r/sites/SiteSustainability/Shared Documents/General/Alcove/FY 25/Q1 - FY 25/Support Documents - Site Sustainability Maturity/Material Savings/Savings of Cost  %26 Carbon Emission.pptx?d=wb2a69805694c46f099d5808b19083b85&amp;csf=1&amp;web=1&amp;e=kROFJn" xr:uid="{6BC1490A-0DD2-45E2-A1B5-B1637716C91C}"/>
    <hyperlink ref="C2" r:id="rId2" display="https://mahindraonline.sharepoint.com/:p:/r/sites/SiteSustainability/Shared Documents/General/Alcove/FY 25/Q2 - FY 25/Support Documents - Site Sustainability Maturity/Material Savings/Savings of Cost  %26 Carbon Emission.pptx?d=wb3288e6565d44a0cb691ec39d83e887f&amp;csf=1&amp;web=1&amp;e=48E4hp" xr:uid="{DC722E48-3A2A-4595-A4E2-4CA39D887314}"/>
    <hyperlink ref="D2" r:id="rId3" display="https://mahindraonline.sharepoint.com/:p:/r/sites/SiteSustainability/Shared Documents/General/Alcove/FY 25/Q3 - FY 25/Support Documents - Site Sustainability Maturity/Material Savings/Savings of Cost  %26 Carbon Emission.pptx?d=w7ecd8434baf84223b2d00dac542d6ab0&amp;csf=1&amp;web=1&amp;e=PIcDdC" xr:uid="{7F4DD4FB-1890-46EA-B612-94473705498A}"/>
    <hyperlink ref="E2" r:id="rId4" display="https://mahindraonline.sharepoint.com/:p:/r/sites/SiteSustainability/Shared Documents/General/Alcove/FY 25/Q4 - FY 25/Support Documents - Site Sustainability Maturity/Material Savings/Savings of Cost  %26 Carbon Emission.pptx?d=wbc14f0552b724035943b14b8e725cbcc&amp;csf=1&amp;web=1&amp;e=HdNNkE" xr:uid="{A0CEE59F-5466-4F0B-8A57-BCFDF4551E3F}"/>
    <hyperlink ref="B4" r:id="rId5" xr:uid="{45C7E84D-E99D-4CF2-B34F-3852628107FC}"/>
    <hyperlink ref="C4" r:id="rId6" xr:uid="{5B54610C-0D1E-41E6-8063-860D8181A11A}"/>
    <hyperlink ref="D4" r:id="rId7" xr:uid="{8DE3E12E-0599-4B8A-8DC1-E661D38AFD8E}"/>
    <hyperlink ref="E4" r:id="rId8" xr:uid="{38E4EFE0-3EB0-462D-9963-8C2E9E34084D}"/>
    <hyperlink ref="B5" r:id="rId9" display="https://mahindraonline.sharepoint.com/:p:/r/sites/SiteSustainability/Shared Documents/General/Eden/FY 25/Q1 - FY 25/Support Documents - Site Sustainability Maturity/01. Sustainibility Assesment - 2024-2025/Site Initiatives - Q1,Q2,Q3 %26 Q4/Project Initiatives Evidence - 2022 -2025.pptx?d=w97ce7a4ad96f4749bee64a7f6054a079&amp;csf=1&amp;web=1&amp;e=IqpjX7" xr:uid="{163CFFCD-F1CA-4750-98B7-B4CC9FA57E7A}"/>
    <hyperlink ref="C5" r:id="rId10" display="https://mahindraonline.sharepoint.com/:x:/r/sites/SiteSustainability/Shared Documents/General/Eden/FY 25/Q2 - FY 25/Support Documents - Site Sustainability Maturity/3. EMS/3.3 Performance Tracker/Eden_Project Initiatives  Tracking -Q2.xlsx?d=w9e5a5f5fc62147b69e026a1e04dcc406&amp;csf=1&amp;web=1&amp;e=retlE8" xr:uid="{882E73A2-0AFA-42F7-B5E9-2C1565F388EE}"/>
    <hyperlink ref="D5" r:id="rId11" display="https://mahindraonline.sharepoint.com/:p:/r/sites/SiteSustainability/Shared Documents/General/Eden/FY 25/Q3 - FY 25/Support Documents - Site Sustainability Maturity/Project Initiatives Evidence - 2022 -2025.pptx?d=w11ce92d51bb248daa13c961da7027109&amp;csf=1&amp;web=1&amp;e=Seqpdf" xr:uid="{6DB52FC5-713E-4593-8791-4088BB2DCCC5}"/>
    <hyperlink ref="E5" r:id="rId12" display="https://mahindraonline.sharepoint.com/:p:/r/sites/SiteSustainability/Shared Documents/General/Eden/FY 25/Q4 - FY 25/Support Documents - Site Sustainability Maturity/Project Initiatives Evidence - 2022 -2025.pptx?d=wfde06c2ae74440f2bc329334c0e116f5&amp;csf=1&amp;web=1&amp;e=znvYOK" xr:uid="{255C4833-1D2E-413B-85C9-7A1450FF854F}"/>
    <hyperlink ref="F5" r:id="rId13" display="https://mahindraonline.sharepoint.com/:x:/r/sites/SiteSustainability/Shared Documents/General/Eden/FY 25/Q4 - FY 25/Support Documents - Site Sustainability Maturity/Waste reusage - Eden.xlsx?d=wf84f47029c7d4b54baaf678fcb1f57f4&amp;csf=1&amp;web=1&amp;e=OHcQqx" xr:uid="{21D06F1F-BF25-4958-B3F8-AD4E2B243D0C}"/>
    <hyperlink ref="G5" r:id="rId14" display="https://mahindraonline.sharepoint.com/:x:/r/sites/SiteSustainability/Shared Documents/General/Eden/FY 25/Q4 - FY 25/Support Documents - Site Sustainability Maturity/Water consumption savings- Eden.xlsx?d=w1cb3ef4cbbdc49f29148739ba66ae54e&amp;csf=1&amp;web=1&amp;e=80ItaH" xr:uid="{9151E825-E325-4975-84A1-0A87D489B0F8}"/>
    <hyperlink ref="B6" r:id="rId15" display="https://mahindraonline.sharepoint.com/:x:/r/sites/SiteSustainability/Shared Documents/General/Happinest Kalyan 2 (Miracle)/FY 25/Q1 - FY 25/Support Documents - Site Sustainability Maturity/Site Initiatives/Project Initiatives - Template.xlsx?d=w5a79c01c85ea4699b23173d68a72916b&amp;csf=1&amp;web=1&amp;e=pHKGBI" xr:uid="{89A59FCD-0780-4255-B1ED-55B7D65F3410}"/>
    <hyperlink ref="C6" r:id="rId16" display="https://mahindraonline.sharepoint.com/:x:/r/sites/SiteSustainability/Shared Documents/General/Happinest Kalyan 2 (Miracle)/FY 25/Q2 - FY 25/Support Documents - Site Sustainability Maturity/Site Initiatives/Back Up Data-Initiatives.xlsx?d=w35658bd7d862482c896d567402138044&amp;csf=1&amp;web=1&amp;e=RfeXqt" xr:uid="{C1761E93-6C08-47D0-9DAE-DC0A8071393C}"/>
    <hyperlink ref="F6" r:id="rId17" display="https://mahindraonline.sharepoint.com/:p:/r/sites/SiteSustainability/Shared Documents/General/Happinest Kalyan 2 (Miracle)/FY 25/Q2 - FY 25/Support Documents - Site Sustainability Maturity/Site Initiatives/Manual Hydraulic forklift Kaizen -HK2.pptx?d=w76708a5be7e84b25add823bed0135b88&amp;csf=1&amp;web=1&amp;e=K1HuLo" xr:uid="{C757580C-BC2A-471A-82BB-C53DC30E5CEE}"/>
    <hyperlink ref="G6" r:id="rId18" display="https://mahindraonline.sharepoint.com/:x:/r/sites/SiteSustainability/Shared Documents/General/Happinest Kalyan 2 (Miracle)/FY 25/Q3 - FY 25/Support Documents - Site Sustainability Maturity/Project Initiatives/2).Motion sensor light saving working.xlsx?d=w193db9df14854548abde76f4c4c095bd&amp;csf=1&amp;web=1&amp;e=wI1eGq" xr:uid="{EC2B33A4-A930-4A1B-B628-5E001D949E2A}"/>
    <hyperlink ref="D6" r:id="rId19" xr:uid="{F3E1E21F-B727-48EF-A530-D1681A2EC143}"/>
    <hyperlink ref="E6" r:id="rId20" display="https://mahindraonline.sharepoint.com/:x:/r/sites/SiteSustainability/Shared Documents/General/Happinest Kalyan 2 (Miracle)/FY 25/Q3 - FY 25/Support Documents - Site Sustainability Maturity/Project Initiatives/Back Up Data-Initiatives.xlsx?d=w8cf5cf0fbda1420c9139371b225661f2&amp;csf=1&amp;web=1&amp;e=Mtk63z" xr:uid="{9C362C44-AB18-47EE-B64A-28F3BB7E0A54}"/>
    <hyperlink ref="B7" r:id="rId21" display="https://mahindraonline.sharepoint.com/:x:/r/sites/SiteSustainability/Shared Documents/General/Happinest Palghar/FY 25/Q4 - FY 25/Support Documents - Site Sustainability Maturity/Project Initiatives %26 Tracking - Template.xlsx?d=wa44ce54c9c1f40a7ab09afe9210a51dd&amp;csf=1&amp;web=1&amp;e=xp8qS1" xr:uid="{BA187DB8-F516-428F-94E5-E1BA64F9C5E9}"/>
    <hyperlink ref="B8" r:id="rId22" xr:uid="{6B8F0446-5AB8-4BD3-88B1-4647198E7DAB}"/>
    <hyperlink ref="C8" r:id="rId23" xr:uid="{2B035BEB-AD0E-41DE-B922-BA99E961CE2A}"/>
    <hyperlink ref="D8" r:id="rId24" xr:uid="{01B6BD97-EE58-4F9D-8674-F308C7DAD82F}"/>
    <hyperlink ref="E8" r:id="rId25" xr:uid="{F8CBC64A-B74C-438A-8808-4B9EDF3290F1}"/>
    <hyperlink ref="B9" r:id="rId26" display="https://mahindraonline.sharepoint.com/:x:/r/sites/SiteSustainability/Shared Documents/General/Luminare/FY 25/Q3 - FY 25/Support Documents - Site Sustainability Maturity/Fan Energy Saving Comparision.xlsx?d=we428ca5d6b3440799210bfcb61b32a71&amp;csf=1&amp;web=1&amp;e=HzaiYz" xr:uid="{AB34E44F-28E1-470B-A8C5-722E8B5B2201}"/>
    <hyperlink ref="C9" r:id="rId27" display="https://mahindraonline.sharepoint.com/:w:/r/sites/SiteSustainability/Shared Documents/General/Luminare/FY 25/Q3 - FY 25/Support Documents - Site Sustainability Maturity/SUSTAINABILITY CASE STUDY- Water Saving by using Curing Compound.docx?d=w0f0f860c09f9445ea72f1541068aab58&amp;csf=1&amp;web=1&amp;e=XwyBIG" xr:uid="{E634BF97-39FD-44F7-ACDE-4EC88B7658BC}"/>
    <hyperlink ref="D9" r:id="rId28" display="https://mahindraonline.sharepoint.com/:x:/r/sites/SiteSustainability/Shared Documents/General/Luminare/FY 25/Q3 - FY 25/Support Documents - Site Sustainability Maturity/Tiles Value Engineering.xlsx?d=w1a37b3cf2e254a0fb11d9cf981c851d3&amp;csf=1&amp;web=1&amp;e=9jnM63" xr:uid="{133C39AE-BF02-419C-8804-9871F20BF4B3}"/>
    <hyperlink ref="B10" r:id="rId29" display="https://mahindraonline.sharepoint.com/:x:/r/sites/SiteSustainability/Shared Documents/General/Nestalgia/FY 25/Q1 - FY 25/Support Documents - Site Sustainability Maturity/Q1-FY-25-Audit/Project Initiatives Q1-25/Cost Savings on Watta making.xlsx?d=w0984d2eef7764e5aac47b5a2c4543e78&amp;csf=1&amp;web=1&amp;e=2vBxt4" xr:uid="{5161B476-8410-48E4-82D6-0215329ED001}"/>
    <hyperlink ref="C10" r:id="rId30" display="https://mahindraonline.sharepoint.com/:x:/r/sites/SiteSustainability/Shared Documents/General/Nestalgia/FY 25/Q1 - FY 25/Support Documents - Site Sustainability Maturity/Q1-FY-25-Audit/Project Initiatives Q1-25/Office Const. Savings.xlsx?d=w9e8677b4f6b9417fb2f64bd08b31a1c5&amp;csf=1&amp;web=1&amp;e=0V9srF" xr:uid="{E3E25407-E013-4B84-887F-F33BC4EAB9C6}"/>
    <hyperlink ref="D10" r:id="rId31" display="https://mahindraonline.sharepoint.com/:x:/r/sites/SiteSustainability/Shared Documents/General/Nestalgia/FY 25/Q1 - FY 25/Support Documents - Site Sustainability Maturity/Q1-FY-25-Audit/Project Initiatives Q1-25/Backfilling Tower B.xlsx?d=w7b70b00f209f44ae83dbd0929a7d2b31&amp;csf=1&amp;web=1&amp;e=c5CHIj" xr:uid="{156DD677-8E68-4934-A095-9AC506403248}"/>
    <hyperlink ref="B11" r:id="rId32" xr:uid="{68D7E869-9DD0-40FC-9213-C7095B654626}"/>
    <hyperlink ref="C11" r:id="rId33" xr:uid="{8A4C335E-16BA-49ED-9CC4-28D47CAC7678}"/>
    <hyperlink ref="D11" r:id="rId34" xr:uid="{1F7A3D71-7C47-4D4F-80A4-251CF0931333}"/>
    <hyperlink ref="E11" r:id="rId35" xr:uid="{0799FC25-4B1C-4FBF-BEAF-72034E2F5CF0}"/>
    <hyperlink ref="D12" r:id="rId36" display="https://mahindraonline.sharepoint.com/:p:/r/sites/SiteSustainability/Shared Documents/General/Happinest Tathawade/FY 25/Q4 - FY 25/Support Documents - Site Sustainability Maturity/Site initiative -1.pptx?d=w61225abd3acc4e04ac6efe1007f4fca6&amp;csf=1&amp;web=1&amp;e=x3GQh1" xr:uid="{0261CC1E-6F39-4E14-9A50-269835FA9FC9}"/>
    <hyperlink ref="B12" r:id="rId37" display="https://mahindraonline.sharepoint.com/:p:/r/sites/SiteSustainability/Shared Documents/General/Happinest Tathawade/FY 25/Q1 - FY 25/Support Documents - Site Sustainability Maturity/Water Saving by storage in UGT in Monsoon.pptx?d=wc61e569963a54574b1d43e66942555cd&amp;csf=1&amp;web=1&amp;e=7l63EI" xr:uid="{7681ACC2-57E6-4EB4-B16C-405ACEC221E1}"/>
    <hyperlink ref="B14" r:id="rId38" display="https://mahindraonline.sharepoint.com/:p:/r/sites/SiteSustainability/Shared Documents/General/Zen/FY 25/FY 25/Q1 - FY 25/Support Documents - Site Sustainability Maturity/Q1-FY2024-25/Site intiatives.pptx?d=w6ad4833905c14cbebae4903ca79edd50&amp;csf=1&amp;web=1&amp;e=nPLLMW" xr:uid="{8E589DC5-83C5-4184-B588-724E086868E8}"/>
    <hyperlink ref="C14" r:id="rId39" display="https://mahindraonline.sharepoint.com/:p:/r/sites/SiteSustainability/Shared Documents/General/Zen/FY 25/FY 25/Q2 - FY 25/Support Documents - Site Sustainability Maturity/SMA- Q2- FY25/Site intiatives- Q2.pptx?d=wbb6e3e158a1147e98709f69f1a360ff8&amp;csf=1&amp;web=1&amp;e=GmlySv" xr:uid="{4928DAF4-76F7-46D6-B359-B98C032DAB2A}"/>
    <hyperlink ref="D14" r:id="rId40" display="https://mahindraonline.sharepoint.com/:p:/r/sites/SiteSustainability/Shared Documents/General/Zen/FY 25/FY 25/Q3 - FY 25/Support Documents - Site Sustainability Maturity/SMA-Q3- FY25/Site intiatives- Q3.pptx?d=w56b5c8460a164daf8d4f2397c01abf1b&amp;csf=1&amp;web=1&amp;e=2sXm6o" xr:uid="{CA26A96C-73DE-4786-8256-E4D6DD817BDE}"/>
    <hyperlink ref="E14" r:id="rId41" display="https://mahindraonline.sharepoint.com/:p:/r/sites/SiteSustainability/Shared Documents/General/Zen/FY 25/FY 25/Q4 - FY 25/Support Documents - Site Sustainability Maturity/Zen Site initiatives.pptx?d=w913bb62b6cf742b696c6fd18d6803c9c&amp;csf=1&amp;web=1&amp;e=GHPTwn" xr:uid="{40B11F3D-6C5D-43FD-833F-5E9106E4C5B3}"/>
    <hyperlink ref="B15" r:id="rId42" display="https://mahindraonline-my.sharepoint.com/:p:/r/personal/23257081_mahindra_com/Documents/MSPIRE 2025/MWC Chennai_Tech Innovation for a journey towards Carbon Neutrality_Rise for a more equal world_Planet+ve.pptx?d=wc23886449b364445b8a2564bb317fb32&amp;csf=1&amp;web=1&amp;e=HTbJGY" xr:uid="{97F0D2F0-A4B4-4335-97B7-0EB27D16C8E2}"/>
    <hyperlink ref="B16" r:id="rId43" display="https://mahindraonline-my.sharepoint.com/:p:/r/personal/23257081_mahindra_com/Documents/MSPIRE 2025/MWC Jaipur_Electrification for Climate positive development_Rise for a more equal world_Planet+ve.pptx?d=w6daee27d165e41edbfa0d0f01711e008&amp;csf=1&amp;web=1&amp;e=SX8fzU" xr:uid="{222AC8F0-6E5E-4088-83CE-3453EC06689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DA4D-05A0-409D-8892-1355348088BC}">
  <sheetPr>
    <tabColor rgb="FF92D050"/>
  </sheetPr>
  <dimension ref="B1:O57"/>
  <sheetViews>
    <sheetView topLeftCell="A22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12" ht="20.25" customHeight="1" thickBot="1" x14ac:dyDescent="0.45">
      <c r="B1" s="7" t="s">
        <v>37</v>
      </c>
      <c r="C1" s="187" t="s">
        <v>38</v>
      </c>
      <c r="D1" s="76" t="s">
        <v>39</v>
      </c>
      <c r="E1" s="69"/>
    </row>
    <row r="2" spans="2:12" ht="29.5" thickBot="1" x14ac:dyDescent="0.45">
      <c r="B2" s="9" t="s">
        <v>14</v>
      </c>
      <c r="C2" s="188"/>
      <c r="D2" s="77" t="s">
        <v>24</v>
      </c>
      <c r="E2" s="11" t="s">
        <v>40</v>
      </c>
      <c r="L2" s="6" t="s">
        <v>15</v>
      </c>
    </row>
    <row r="3" spans="2:12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I3" s="1" t="s">
        <v>42</v>
      </c>
      <c r="J3" s="1" t="s">
        <v>43</v>
      </c>
      <c r="L3" s="6" t="s">
        <v>16</v>
      </c>
    </row>
    <row r="4" spans="2:12" ht="16.5" thickBot="1" x14ac:dyDescent="0.45">
      <c r="B4" s="15" t="s">
        <v>45</v>
      </c>
      <c r="C4" s="16" t="s">
        <v>46</v>
      </c>
      <c r="D4" s="71">
        <v>0</v>
      </c>
      <c r="E4" s="18">
        <f t="shared" si="0"/>
        <v>0</v>
      </c>
      <c r="F4" s="1">
        <v>30</v>
      </c>
      <c r="G4" s="1" t="s">
        <v>47</v>
      </c>
      <c r="H4" s="1">
        <v>115</v>
      </c>
      <c r="I4" s="1">
        <f>0.45*H4*F4/2</f>
        <v>776.25</v>
      </c>
      <c r="J4" s="1">
        <f>0.55*H4*F4/2</f>
        <v>948.75000000000011</v>
      </c>
      <c r="L4" s="6" t="s">
        <v>17</v>
      </c>
    </row>
    <row r="5" spans="2:12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31</v>
      </c>
      <c r="G5" s="1" t="s">
        <v>13</v>
      </c>
      <c r="H5" s="1">
        <v>115</v>
      </c>
      <c r="I5" s="1">
        <f t="shared" ref="I5:I15" si="1">0.45*H5*F5/2</f>
        <v>802.125</v>
      </c>
      <c r="J5" s="1">
        <f t="shared" ref="J5:J15" si="2">0.55*H5*F5/2</f>
        <v>980.37500000000011</v>
      </c>
      <c r="L5" s="6" t="s">
        <v>14</v>
      </c>
    </row>
    <row r="6" spans="2:12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30</v>
      </c>
      <c r="G6" s="1" t="s">
        <v>53</v>
      </c>
      <c r="H6" s="1">
        <v>115</v>
      </c>
      <c r="I6" s="1">
        <f t="shared" si="1"/>
        <v>776.25</v>
      </c>
      <c r="J6" s="1">
        <f t="shared" si="2"/>
        <v>948.75000000000011</v>
      </c>
      <c r="L6" s="6" t="s">
        <v>18</v>
      </c>
    </row>
    <row r="7" spans="2:12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31</v>
      </c>
      <c r="G7" s="1" t="s">
        <v>55</v>
      </c>
      <c r="H7" s="1">
        <v>115</v>
      </c>
      <c r="I7" s="1">
        <f t="shared" si="1"/>
        <v>802.125</v>
      </c>
      <c r="J7" s="1">
        <f t="shared" si="2"/>
        <v>980.37500000000011</v>
      </c>
      <c r="L7" s="6" t="s">
        <v>19</v>
      </c>
    </row>
    <row r="8" spans="2:12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57</v>
      </c>
      <c r="H8" s="1">
        <v>115</v>
      </c>
      <c r="I8" s="1">
        <f t="shared" si="1"/>
        <v>802.125</v>
      </c>
      <c r="J8" s="1">
        <f t="shared" si="2"/>
        <v>980.37500000000011</v>
      </c>
      <c r="L8" s="6" t="s">
        <v>20</v>
      </c>
    </row>
    <row r="9" spans="2:12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30</v>
      </c>
      <c r="G9" s="1" t="s">
        <v>59</v>
      </c>
      <c r="H9" s="1">
        <v>115</v>
      </c>
      <c r="I9" s="1">
        <f t="shared" si="1"/>
        <v>776.25</v>
      </c>
      <c r="J9" s="1">
        <f t="shared" si="2"/>
        <v>948.75000000000011</v>
      </c>
      <c r="L9" s="6" t="s">
        <v>21</v>
      </c>
    </row>
    <row r="10" spans="2:12" ht="16.5" thickBot="1" x14ac:dyDescent="0.45">
      <c r="B10" s="12" t="s">
        <v>60</v>
      </c>
      <c r="C10" s="23"/>
      <c r="D10" s="38">
        <v>498.15</v>
      </c>
      <c r="E10" s="24">
        <f t="shared" si="0"/>
        <v>498.15</v>
      </c>
      <c r="F10" s="1">
        <v>31</v>
      </c>
      <c r="G10" s="1" t="s">
        <v>61</v>
      </c>
      <c r="H10" s="1">
        <v>115</v>
      </c>
      <c r="I10" s="1">
        <f t="shared" si="1"/>
        <v>802.125</v>
      </c>
      <c r="J10" s="1">
        <f t="shared" si="2"/>
        <v>980.37500000000011</v>
      </c>
      <c r="L10" s="6" t="s">
        <v>22</v>
      </c>
    </row>
    <row r="11" spans="2:12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30</v>
      </c>
      <c r="G11" s="1" t="s">
        <v>63</v>
      </c>
      <c r="H11" s="1">
        <v>115</v>
      </c>
      <c r="I11" s="1">
        <f t="shared" si="1"/>
        <v>776.25</v>
      </c>
      <c r="J11" s="1">
        <f t="shared" si="2"/>
        <v>948.75000000000011</v>
      </c>
    </row>
    <row r="12" spans="2:12" x14ac:dyDescent="0.4">
      <c r="B12" s="39" t="s">
        <v>64</v>
      </c>
      <c r="C12" s="28" t="s">
        <v>46</v>
      </c>
      <c r="D12" s="74">
        <f>I16</f>
        <v>9444.375</v>
      </c>
      <c r="E12" s="41">
        <f t="shared" si="0"/>
        <v>9444.375</v>
      </c>
      <c r="F12" s="1">
        <v>31</v>
      </c>
      <c r="G12" s="1" t="s">
        <v>66</v>
      </c>
      <c r="H12" s="1">
        <v>115</v>
      </c>
      <c r="I12" s="1">
        <f t="shared" si="1"/>
        <v>802.125</v>
      </c>
      <c r="J12" s="1">
        <f t="shared" si="2"/>
        <v>980.37500000000011</v>
      </c>
    </row>
    <row r="13" spans="2:12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68</v>
      </c>
      <c r="H13" s="1">
        <v>115</v>
      </c>
      <c r="I13" s="1">
        <f t="shared" si="1"/>
        <v>802.125</v>
      </c>
      <c r="J13" s="1">
        <f t="shared" si="2"/>
        <v>980.37500000000011</v>
      </c>
    </row>
    <row r="14" spans="2:12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28</v>
      </c>
      <c r="G14" s="1" t="s">
        <v>70</v>
      </c>
      <c r="H14" s="1">
        <v>115</v>
      </c>
      <c r="I14" s="1">
        <f t="shared" si="1"/>
        <v>724.5</v>
      </c>
      <c r="J14" s="1">
        <f t="shared" si="2"/>
        <v>885.50000000000011</v>
      </c>
    </row>
    <row r="15" spans="2:12" x14ac:dyDescent="0.4">
      <c r="B15" s="39" t="s">
        <v>71</v>
      </c>
      <c r="C15" s="28" t="s">
        <v>46</v>
      </c>
      <c r="D15" s="74">
        <v>0</v>
      </c>
      <c r="E15" s="41">
        <f t="shared" si="0"/>
        <v>0</v>
      </c>
      <c r="F15" s="1">
        <v>31</v>
      </c>
      <c r="G15" s="1" t="s">
        <v>72</v>
      </c>
      <c r="H15" s="1">
        <v>115</v>
      </c>
      <c r="I15" s="1">
        <f t="shared" si="1"/>
        <v>802.125</v>
      </c>
      <c r="J15" s="1">
        <f t="shared" si="2"/>
        <v>980.37500000000011</v>
      </c>
    </row>
    <row r="16" spans="2:12" x14ac:dyDescent="0.4">
      <c r="B16" s="39" t="s">
        <v>73</v>
      </c>
      <c r="C16" s="28" t="s">
        <v>65</v>
      </c>
      <c r="D16" s="74">
        <v>0</v>
      </c>
      <c r="E16" s="41">
        <f t="shared" si="0"/>
        <v>0</v>
      </c>
      <c r="I16" s="1">
        <f>SUM(I4:I15)</f>
        <v>9444.375</v>
      </c>
      <c r="J16" s="1">
        <f>SUM(J4:J15)</f>
        <v>11543.125000000002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46</v>
      </c>
      <c r="D20" s="74">
        <v>96.45</v>
      </c>
      <c r="E20" s="41">
        <f t="shared" si="0"/>
        <v>96.45</v>
      </c>
    </row>
    <row r="21" spans="2:15" x14ac:dyDescent="0.4">
      <c r="B21" s="39" t="s">
        <v>78</v>
      </c>
      <c r="C21" s="28" t="s">
        <v>65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65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J16</f>
        <v>11543.125000000002</v>
      </c>
      <c r="E23" s="41">
        <f t="shared" si="0"/>
        <v>11543.125000000002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65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Recycled/Reused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6" si="3">VLOOKUP($B34,$B$4:$C$30,2,0)</f>
        <v>Recycled/Reused</v>
      </c>
      <c r="D34" s="40">
        <f t="shared" ref="D34:D55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 t="str">
        <f t="shared" si="3"/>
        <v>Recycled/Reused</v>
      </c>
      <c r="D35" s="40">
        <f t="shared" si="4"/>
        <v>0</v>
      </c>
      <c r="E35" s="49" t="s">
        <v>93</v>
      </c>
      <c r="G35" s="50" t="s">
        <v>46</v>
      </c>
      <c r="H35" s="51">
        <f>SUMIFS($D$33:$D$56,$C$33:$C$56,$G35)</f>
        <v>9540.8250000000007</v>
      </c>
    </row>
    <row r="36" spans="2:15" ht="16.5" thickBot="1" x14ac:dyDescent="0.45">
      <c r="B36" s="48" t="s">
        <v>58</v>
      </c>
      <c r="C36" s="39" t="str">
        <f t="shared" si="3"/>
        <v>Recycled/Reused</v>
      </c>
      <c r="D36" s="40">
        <f t="shared" si="4"/>
        <v>0</v>
      </c>
      <c r="E36" s="49" t="s">
        <v>93</v>
      </c>
      <c r="G36" s="52" t="s">
        <v>65</v>
      </c>
      <c r="H36" s="53">
        <f>SUMIFS($D$33:$D$56,$C$33:$C$56,$G36)</f>
        <v>11543.125000000002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D57-SUM(D35:D36)</f>
        <v>21083.950000000004</v>
      </c>
    </row>
    <row r="38" spans="2:15" ht="32.5" thickBot="1" x14ac:dyDescent="0.45">
      <c r="B38" s="48" t="s">
        <v>64</v>
      </c>
      <c r="C38" s="39" t="str">
        <f t="shared" si="3"/>
        <v>Recycled/Reused</v>
      </c>
      <c r="D38" s="40">
        <f t="shared" si="4"/>
        <v>9444.375</v>
      </c>
      <c r="E38" s="49" t="s">
        <v>92</v>
      </c>
      <c r="G38" s="56" t="s">
        <v>94</v>
      </c>
      <c r="H38" s="57">
        <f>IF(ISERROR(H35/H37), "ZERO Waste Generated", (H35/H37))</f>
        <v>0.45251601336561692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">
        <v>46</v>
      </c>
      <c r="D42" s="40">
        <f>SUMIF($B$3:$B$30,$B42,$E$3:$E$30)*0.5</f>
        <v>0</v>
      </c>
      <c r="E42" s="49" t="s">
        <v>92</v>
      </c>
      <c r="G42" s="58" t="s">
        <v>95</v>
      </c>
      <c r="H42" s="51">
        <f>D38*0.5</f>
        <v>4722.1875</v>
      </c>
    </row>
    <row r="43" spans="2:15" x14ac:dyDescent="0.4">
      <c r="B43" s="48" t="s">
        <v>73</v>
      </c>
      <c r="C43" s="39" t="str">
        <f t="shared" si="3"/>
        <v>Landfill</v>
      </c>
      <c r="D43" s="40">
        <f>SUMIF($B$3:$B$30,$B43,$E$3:$E$30)*0.5</f>
        <v>0</v>
      </c>
      <c r="E43" s="49" t="s">
        <v>92</v>
      </c>
      <c r="G43" s="59" t="s">
        <v>96</v>
      </c>
      <c r="H43" s="60">
        <f>SUM(D41,D48,D54)</f>
        <v>0</v>
      </c>
    </row>
    <row r="44" spans="2:15" ht="16.5" thickBot="1" x14ac:dyDescent="0.45">
      <c r="B44" s="48" t="s">
        <v>74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D55</f>
        <v>0</v>
      </c>
    </row>
    <row r="45" spans="2:15" x14ac:dyDescent="0.4">
      <c r="B45" s="48" t="s">
        <v>75</v>
      </c>
      <c r="C45" s="39" t="str">
        <f t="shared" si="3"/>
        <v>Landfill</v>
      </c>
      <c r="D45" s="40">
        <f t="shared" si="4"/>
        <v>0</v>
      </c>
      <c r="E45" s="49" t="s">
        <v>92</v>
      </c>
    </row>
    <row r="46" spans="2:15" x14ac:dyDescent="0.4">
      <c r="B46" s="48" t="s">
        <v>76</v>
      </c>
      <c r="C46" s="39" t="str">
        <f t="shared" si="3"/>
        <v>Recycled/Reused</v>
      </c>
      <c r="D46" s="40">
        <f t="shared" si="4"/>
        <v>0</v>
      </c>
      <c r="E46" s="49" t="s">
        <v>92</v>
      </c>
    </row>
    <row r="47" spans="2:15" x14ac:dyDescent="0.4">
      <c r="B47" s="48" t="s">
        <v>77</v>
      </c>
      <c r="C47" s="39" t="str">
        <f t="shared" si="3"/>
        <v>Recycled/Reused</v>
      </c>
      <c r="D47" s="40">
        <f t="shared" si="4"/>
        <v>96.45</v>
      </c>
      <c r="E47" s="49" t="s">
        <v>92</v>
      </c>
    </row>
    <row r="48" spans="2:15" x14ac:dyDescent="0.4">
      <c r="B48" s="48" t="s">
        <v>78</v>
      </c>
      <c r="C48" s="39" t="str">
        <f t="shared" si="3"/>
        <v>Landfill</v>
      </c>
      <c r="D48" s="40">
        <f t="shared" si="4"/>
        <v>0</v>
      </c>
      <c r="E48" s="49" t="s">
        <v>92</v>
      </c>
    </row>
    <row r="49" spans="2:5" x14ac:dyDescent="0.4">
      <c r="B49" s="48" t="s">
        <v>79</v>
      </c>
      <c r="C49" s="39" t="str">
        <f t="shared" si="3"/>
        <v>Landfill</v>
      </c>
      <c r="D49" s="40">
        <f t="shared" si="4"/>
        <v>0</v>
      </c>
      <c r="E49" s="49" t="s">
        <v>92</v>
      </c>
    </row>
    <row r="50" spans="2:5" x14ac:dyDescent="0.4">
      <c r="B50" s="48" t="s">
        <v>80</v>
      </c>
      <c r="C50" s="39" t="str">
        <f t="shared" si="3"/>
        <v>Landfill</v>
      </c>
      <c r="D50" s="40">
        <f t="shared" si="4"/>
        <v>11543.125000000002</v>
      </c>
      <c r="E50" s="49" t="s">
        <v>92</v>
      </c>
    </row>
    <row r="51" spans="2:5" x14ac:dyDescent="0.4">
      <c r="B51" s="48" t="s">
        <v>81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82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83</v>
      </c>
      <c r="C53" s="39" t="str">
        <f t="shared" si="3"/>
        <v>Recycled/Reused</v>
      </c>
      <c r="D53" s="40">
        <f t="shared" si="4"/>
        <v>0</v>
      </c>
      <c r="E53" s="49" t="s">
        <v>92</v>
      </c>
    </row>
    <row r="54" spans="2:5" x14ac:dyDescent="0.4">
      <c r="B54" s="48" t="s">
        <v>84</v>
      </c>
      <c r="C54" s="39" t="str">
        <f t="shared" si="3"/>
        <v>Landfill</v>
      </c>
      <c r="D54" s="40">
        <f t="shared" si="4"/>
        <v>0</v>
      </c>
      <c r="E54" s="49" t="s">
        <v>92</v>
      </c>
    </row>
    <row r="55" spans="2:5" x14ac:dyDescent="0.4">
      <c r="B55" s="48" t="s">
        <v>85</v>
      </c>
      <c r="C55" s="39" t="str">
        <f t="shared" si="3"/>
        <v>Recycled/Reused</v>
      </c>
      <c r="D55" s="40">
        <f t="shared" si="4"/>
        <v>0</v>
      </c>
      <c r="E55" s="49" t="s">
        <v>92</v>
      </c>
    </row>
    <row r="56" spans="2:5" ht="18.5" thickBot="1" x14ac:dyDescent="0.45">
      <c r="B56" s="64" t="s">
        <v>87</v>
      </c>
      <c r="C56" s="65" t="str">
        <f t="shared" si="3"/>
        <v>Recycled/Reused</v>
      </c>
      <c r="D56" s="66">
        <f>SUMIF($B$3:$B$30,$B56,$E$3:$E$30)*1620</f>
        <v>0</v>
      </c>
      <c r="E56" s="67" t="s">
        <v>92</v>
      </c>
    </row>
    <row r="57" spans="2:5" ht="16.5" thickBot="1" x14ac:dyDescent="0.45">
      <c r="B57" s="192" t="s">
        <v>31</v>
      </c>
      <c r="C57" s="193"/>
      <c r="D57" s="194">
        <f>SUM(D33:D56)</f>
        <v>21083.950000000004</v>
      </c>
      <c r="E57" s="195"/>
    </row>
  </sheetData>
  <mergeCells count="3">
    <mergeCell ref="C1:C2"/>
    <mergeCell ref="B57:C57"/>
    <mergeCell ref="D57:E57"/>
  </mergeCells>
  <dataValidations count="1">
    <dataValidation type="list" allowBlank="1" showInputMessage="1" showErrorMessage="1" sqref="B2" xr:uid="{D9367BD4-9C89-44E2-9310-4717ED791C86}">
      <formula1>$L$2:$L$10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98CB9-6B05-4D7B-84A2-13138F262EFF}">
  <sheetPr>
    <tabColor rgb="FF92D050"/>
  </sheetPr>
  <dimension ref="B1:O56"/>
  <sheetViews>
    <sheetView topLeftCell="A33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12" ht="20.25" customHeight="1" thickBot="1" x14ac:dyDescent="0.45">
      <c r="B1" s="7" t="s">
        <v>37</v>
      </c>
      <c r="C1" s="187" t="s">
        <v>38</v>
      </c>
      <c r="D1" s="8" t="s">
        <v>39</v>
      </c>
    </row>
    <row r="2" spans="2:12" ht="29.5" thickBot="1" x14ac:dyDescent="0.45">
      <c r="B2" s="9" t="s">
        <v>14</v>
      </c>
      <c r="C2" s="188"/>
      <c r="D2" s="10" t="s">
        <v>25</v>
      </c>
      <c r="E2" s="11" t="s">
        <v>40</v>
      </c>
      <c r="L2" s="6" t="s">
        <v>15</v>
      </c>
    </row>
    <row r="3" spans="2:12" ht="16.5" thickBot="1" x14ac:dyDescent="0.45">
      <c r="B3" s="12" t="s">
        <v>41</v>
      </c>
      <c r="C3" s="13"/>
      <c r="D3" s="13">
        <v>0</v>
      </c>
      <c r="E3" s="14">
        <f t="shared" ref="E3:E30" si="0">SUM(D3:D3)</f>
        <v>0</v>
      </c>
      <c r="I3" s="1" t="s">
        <v>42</v>
      </c>
      <c r="J3" s="1" t="s">
        <v>43</v>
      </c>
      <c r="L3" s="6" t="s">
        <v>16</v>
      </c>
    </row>
    <row r="4" spans="2:12" ht="16.5" thickBot="1" x14ac:dyDescent="0.45">
      <c r="B4" s="15" t="s">
        <v>45</v>
      </c>
      <c r="C4" s="16" t="s">
        <v>46</v>
      </c>
      <c r="D4" s="17">
        <v>0</v>
      </c>
      <c r="E4" s="18">
        <f t="shared" si="0"/>
        <v>0</v>
      </c>
      <c r="F4" s="1">
        <v>30</v>
      </c>
      <c r="G4" s="1" t="s">
        <v>47</v>
      </c>
      <c r="H4" s="1">
        <v>700</v>
      </c>
      <c r="I4" s="1">
        <f>0.62*H4*F4/2</f>
        <v>6510</v>
      </c>
      <c r="J4" s="1">
        <f>0.38*H4*F4/2</f>
        <v>3990</v>
      </c>
      <c r="L4" s="6" t="s">
        <v>17</v>
      </c>
    </row>
    <row r="5" spans="2:12" ht="16.5" thickBot="1" x14ac:dyDescent="0.45">
      <c r="B5" s="12" t="s">
        <v>50</v>
      </c>
      <c r="C5" s="23"/>
      <c r="D5" s="13">
        <v>0</v>
      </c>
      <c r="E5" s="24">
        <f t="shared" si="0"/>
        <v>0</v>
      </c>
      <c r="F5" s="1">
        <v>31</v>
      </c>
      <c r="G5" s="1" t="s">
        <v>13</v>
      </c>
      <c r="H5" s="1">
        <v>700</v>
      </c>
      <c r="I5" s="1">
        <f t="shared" ref="I5:I15" si="1">0.62*H5*F5/2</f>
        <v>6727</v>
      </c>
      <c r="J5" s="1">
        <f t="shared" ref="J5:J15" si="2">0.38*H5*F5/2</f>
        <v>4123</v>
      </c>
      <c r="L5" s="6" t="s">
        <v>14</v>
      </c>
    </row>
    <row r="6" spans="2:12" ht="16.5" thickBot="1" x14ac:dyDescent="0.45">
      <c r="B6" s="15" t="s">
        <v>52</v>
      </c>
      <c r="C6" s="28" t="s">
        <v>46</v>
      </c>
      <c r="D6" s="17">
        <v>0</v>
      </c>
      <c r="E6" s="18">
        <f t="shared" si="0"/>
        <v>0</v>
      </c>
      <c r="F6" s="1">
        <v>30</v>
      </c>
      <c r="G6" s="1" t="s">
        <v>53</v>
      </c>
      <c r="H6" s="1">
        <v>700</v>
      </c>
      <c r="I6" s="1">
        <f t="shared" si="1"/>
        <v>6510</v>
      </c>
      <c r="J6" s="1">
        <f t="shared" si="2"/>
        <v>3990</v>
      </c>
      <c r="L6" s="6" t="s">
        <v>18</v>
      </c>
    </row>
    <row r="7" spans="2:12" ht="16.5" thickBot="1" x14ac:dyDescent="0.45">
      <c r="B7" s="12" t="s">
        <v>54</v>
      </c>
      <c r="C7" s="23"/>
      <c r="D7" s="13">
        <v>0</v>
      </c>
      <c r="E7" s="24">
        <f t="shared" si="0"/>
        <v>0</v>
      </c>
      <c r="F7" s="1">
        <v>31</v>
      </c>
      <c r="G7" s="1" t="s">
        <v>55</v>
      </c>
      <c r="H7" s="1">
        <v>700</v>
      </c>
      <c r="I7" s="1">
        <f t="shared" si="1"/>
        <v>6727</v>
      </c>
      <c r="J7" s="1">
        <f t="shared" si="2"/>
        <v>4123</v>
      </c>
      <c r="L7" s="6" t="s">
        <v>19</v>
      </c>
    </row>
    <row r="8" spans="2:12" x14ac:dyDescent="0.4">
      <c r="B8" s="29" t="s">
        <v>56</v>
      </c>
      <c r="C8" s="28" t="s">
        <v>46</v>
      </c>
      <c r="D8" s="30">
        <v>0</v>
      </c>
      <c r="E8" s="31">
        <f t="shared" si="0"/>
        <v>0</v>
      </c>
      <c r="F8" s="1">
        <v>31</v>
      </c>
      <c r="G8" s="1" t="s">
        <v>57</v>
      </c>
      <c r="H8" s="1">
        <v>700</v>
      </c>
      <c r="I8" s="1">
        <f t="shared" si="1"/>
        <v>6727</v>
      </c>
      <c r="J8" s="1">
        <f t="shared" si="2"/>
        <v>4123</v>
      </c>
      <c r="L8" s="6" t="s">
        <v>20</v>
      </c>
    </row>
    <row r="9" spans="2:12" ht="16.5" thickBot="1" x14ac:dyDescent="0.45">
      <c r="B9" s="32" t="s">
        <v>58</v>
      </c>
      <c r="C9" s="28" t="s">
        <v>46</v>
      </c>
      <c r="D9" s="33">
        <v>0</v>
      </c>
      <c r="E9" s="34">
        <f t="shared" si="0"/>
        <v>0</v>
      </c>
      <c r="F9" s="1">
        <v>30</v>
      </c>
      <c r="G9" s="1" t="s">
        <v>59</v>
      </c>
      <c r="H9" s="1">
        <v>700</v>
      </c>
      <c r="I9" s="1">
        <f t="shared" si="1"/>
        <v>6510</v>
      </c>
      <c r="J9" s="1">
        <f t="shared" si="2"/>
        <v>3990</v>
      </c>
      <c r="L9" s="6" t="s">
        <v>21</v>
      </c>
    </row>
    <row r="10" spans="2:12" ht="16.5" thickBot="1" x14ac:dyDescent="0.45">
      <c r="B10" s="12" t="s">
        <v>60</v>
      </c>
      <c r="C10" s="23"/>
      <c r="D10" s="38">
        <v>0</v>
      </c>
      <c r="E10" s="24">
        <f t="shared" si="0"/>
        <v>0</v>
      </c>
      <c r="F10" s="1">
        <v>31</v>
      </c>
      <c r="G10" s="1" t="s">
        <v>61</v>
      </c>
      <c r="H10" s="1">
        <v>700</v>
      </c>
      <c r="I10" s="1">
        <f t="shared" si="1"/>
        <v>6727</v>
      </c>
      <c r="J10" s="1">
        <f t="shared" si="2"/>
        <v>4123</v>
      </c>
      <c r="L10" s="6" t="s">
        <v>22</v>
      </c>
    </row>
    <row r="11" spans="2:12" x14ac:dyDescent="0.4">
      <c r="B11" s="29" t="s">
        <v>62</v>
      </c>
      <c r="C11" s="28" t="s">
        <v>46</v>
      </c>
      <c r="D11" s="30">
        <v>0</v>
      </c>
      <c r="E11" s="31">
        <f t="shared" si="0"/>
        <v>0</v>
      </c>
      <c r="F11" s="1">
        <v>30</v>
      </c>
      <c r="G11" s="1" t="s">
        <v>63</v>
      </c>
      <c r="H11" s="1">
        <v>700</v>
      </c>
      <c r="I11" s="1">
        <f t="shared" si="1"/>
        <v>6510</v>
      </c>
      <c r="J11" s="1">
        <f t="shared" si="2"/>
        <v>3990</v>
      </c>
    </row>
    <row r="12" spans="2:12" x14ac:dyDescent="0.4">
      <c r="B12" s="39" t="s">
        <v>64</v>
      </c>
      <c r="C12" s="40" t="s">
        <v>46</v>
      </c>
      <c r="D12" s="74">
        <f>I16</f>
        <v>79205</v>
      </c>
      <c r="E12" s="41">
        <f t="shared" si="0"/>
        <v>79205</v>
      </c>
      <c r="F12" s="1">
        <v>31</v>
      </c>
      <c r="G12" s="1" t="s">
        <v>66</v>
      </c>
      <c r="H12" s="1">
        <v>700</v>
      </c>
      <c r="I12" s="1">
        <f t="shared" si="1"/>
        <v>6727</v>
      </c>
      <c r="J12" s="1">
        <f t="shared" si="2"/>
        <v>4123</v>
      </c>
    </row>
    <row r="13" spans="2:12" x14ac:dyDescent="0.4">
      <c r="B13" s="39" t="s">
        <v>67</v>
      </c>
      <c r="C13" s="40" t="s">
        <v>65</v>
      </c>
      <c r="D13" s="42">
        <v>0</v>
      </c>
      <c r="E13" s="41">
        <f t="shared" si="0"/>
        <v>0</v>
      </c>
      <c r="F13" s="1">
        <v>31</v>
      </c>
      <c r="G13" s="1" t="s">
        <v>68</v>
      </c>
      <c r="H13" s="1">
        <v>700</v>
      </c>
      <c r="I13" s="1">
        <f t="shared" si="1"/>
        <v>6727</v>
      </c>
      <c r="J13" s="1">
        <f t="shared" si="2"/>
        <v>4123</v>
      </c>
    </row>
    <row r="14" spans="2:12" x14ac:dyDescent="0.4">
      <c r="B14" s="39" t="s">
        <v>69</v>
      </c>
      <c r="C14" s="28" t="s">
        <v>46</v>
      </c>
      <c r="D14" s="42">
        <v>0</v>
      </c>
      <c r="E14" s="41">
        <f t="shared" si="0"/>
        <v>0</v>
      </c>
      <c r="F14" s="1">
        <v>28</v>
      </c>
      <c r="G14" s="1" t="s">
        <v>70</v>
      </c>
      <c r="H14" s="1">
        <v>700</v>
      </c>
      <c r="I14" s="1">
        <f t="shared" si="1"/>
        <v>6076</v>
      </c>
      <c r="J14" s="1">
        <f t="shared" si="2"/>
        <v>3724</v>
      </c>
    </row>
    <row r="15" spans="2:12" x14ac:dyDescent="0.4">
      <c r="B15" s="39" t="s">
        <v>71</v>
      </c>
      <c r="C15" s="28" t="s">
        <v>46</v>
      </c>
      <c r="D15" s="42">
        <v>0</v>
      </c>
      <c r="E15" s="41">
        <f t="shared" si="0"/>
        <v>0</v>
      </c>
      <c r="F15" s="1">
        <v>31</v>
      </c>
      <c r="G15" s="1" t="s">
        <v>72</v>
      </c>
      <c r="H15" s="1">
        <v>700</v>
      </c>
      <c r="I15" s="1">
        <f t="shared" si="1"/>
        <v>6727</v>
      </c>
      <c r="J15" s="1">
        <f t="shared" si="2"/>
        <v>4123</v>
      </c>
    </row>
    <row r="16" spans="2:12" x14ac:dyDescent="0.4">
      <c r="B16" s="39" t="s">
        <v>73</v>
      </c>
      <c r="C16" s="28" t="s">
        <v>46</v>
      </c>
      <c r="D16" s="42">
        <v>0</v>
      </c>
      <c r="E16" s="41">
        <f t="shared" si="0"/>
        <v>0</v>
      </c>
      <c r="I16" s="1">
        <f>SUM(I4:I15)</f>
        <v>79205</v>
      </c>
      <c r="J16" s="1">
        <f>SUM(J4:J15)</f>
        <v>48545</v>
      </c>
    </row>
    <row r="17" spans="2:15" x14ac:dyDescent="0.4">
      <c r="B17" s="39" t="s">
        <v>74</v>
      </c>
      <c r="C17" s="40" t="s">
        <v>65</v>
      </c>
      <c r="D17" s="42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42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42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42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65</v>
      </c>
      <c r="D21" s="42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42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42">
        <f>J16</f>
        <v>48545</v>
      </c>
      <c r="E23" s="41">
        <f t="shared" si="0"/>
        <v>48545</v>
      </c>
    </row>
    <row r="24" spans="2:15" x14ac:dyDescent="0.4">
      <c r="B24" s="39" t="s">
        <v>81</v>
      </c>
      <c r="C24" s="28" t="s">
        <v>46</v>
      </c>
      <c r="D24" s="42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42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42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42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3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13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30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Recycled/Reused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5" si="3">VLOOKUP($B34,$B$4:$C$30,2,0)</f>
        <v>Recycled/Reused</v>
      </c>
      <c r="D34" s="40">
        <f t="shared" ref="D34:D54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 t="str">
        <f t="shared" si="3"/>
        <v>Recycled/Reused</v>
      </c>
      <c r="D35" s="40">
        <f t="shared" si="4"/>
        <v>0</v>
      </c>
      <c r="E35" s="49" t="s">
        <v>93</v>
      </c>
      <c r="G35" s="50" t="s">
        <v>46</v>
      </c>
      <c r="H35" s="51">
        <f>SUMIFS($D$33:$D$55,$C$33:$C$55,$G35)</f>
        <v>79205</v>
      </c>
    </row>
    <row r="36" spans="2:15" ht="16.5" thickBot="1" x14ac:dyDescent="0.45">
      <c r="B36" s="48" t="s">
        <v>58</v>
      </c>
      <c r="C36" s="39" t="str">
        <f t="shared" si="3"/>
        <v>Recycled/Reused</v>
      </c>
      <c r="D36" s="40">
        <f t="shared" si="4"/>
        <v>0</v>
      </c>
      <c r="E36" s="49" t="s">
        <v>93</v>
      </c>
      <c r="G36" s="52" t="s">
        <v>65</v>
      </c>
      <c r="H36" s="53">
        <f>SUMIFS($D$33:$D$55,$C$33:$C$55,$G36)</f>
        <v>48545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D56-SUM(D35:D36)</f>
        <v>127750</v>
      </c>
    </row>
    <row r="38" spans="2:15" ht="32.5" thickBot="1" x14ac:dyDescent="0.45">
      <c r="B38" s="48" t="s">
        <v>64</v>
      </c>
      <c r="C38" s="39" t="str">
        <f t="shared" si="3"/>
        <v>Recycled/Reused</v>
      </c>
      <c r="D38" s="40">
        <f t="shared" si="4"/>
        <v>79205</v>
      </c>
      <c r="E38" s="49" t="s">
        <v>92</v>
      </c>
      <c r="G38" s="56" t="s">
        <v>94</v>
      </c>
      <c r="H38" s="57">
        <f>IF(ISERROR(H35/H37), "ZERO Waste Generated", (H35/H37))</f>
        <v>0.62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 t="shared" si="4"/>
        <v>0</v>
      </c>
      <c r="E42" s="49" t="s">
        <v>92</v>
      </c>
      <c r="G42" s="58" t="s">
        <v>95</v>
      </c>
      <c r="H42" s="51">
        <f>D38*0.5</f>
        <v>39602.5</v>
      </c>
    </row>
    <row r="43" spans="2:15" x14ac:dyDescent="0.4">
      <c r="B43" s="48" t="s">
        <v>74</v>
      </c>
      <c r="C43" s="39" t="str">
        <f t="shared" si="3"/>
        <v>Landfill</v>
      </c>
      <c r="D43" s="40">
        <f t="shared" si="4"/>
        <v>0</v>
      </c>
      <c r="E43" s="49" t="s">
        <v>92</v>
      </c>
      <c r="G43" s="59" t="s">
        <v>96</v>
      </c>
      <c r="H43" s="60">
        <f>SUM(D41,D47,D53)</f>
        <v>0</v>
      </c>
    </row>
    <row r="44" spans="2:15" ht="16.5" thickBot="1" x14ac:dyDescent="0.45">
      <c r="B44" s="48" t="s">
        <v>75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D54</f>
        <v>0</v>
      </c>
    </row>
    <row r="45" spans="2:15" x14ac:dyDescent="0.4">
      <c r="B45" s="48" t="s">
        <v>76</v>
      </c>
      <c r="C45" s="39" t="str">
        <f t="shared" si="3"/>
        <v>Recycled/Reused</v>
      </c>
      <c r="D45" s="40">
        <f t="shared" si="4"/>
        <v>0</v>
      </c>
      <c r="E45" s="49" t="s">
        <v>92</v>
      </c>
    </row>
    <row r="46" spans="2:15" x14ac:dyDescent="0.4">
      <c r="B46" s="48" t="s">
        <v>77</v>
      </c>
      <c r="C46" s="39" t="str">
        <f t="shared" si="3"/>
        <v>Landfill</v>
      </c>
      <c r="D46" s="40">
        <f t="shared" si="4"/>
        <v>0</v>
      </c>
      <c r="E46" s="49" t="s">
        <v>92</v>
      </c>
    </row>
    <row r="47" spans="2:15" x14ac:dyDescent="0.4">
      <c r="B47" s="48" t="s">
        <v>78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79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80</v>
      </c>
      <c r="C49" s="39" t="str">
        <f t="shared" si="3"/>
        <v>Landfill</v>
      </c>
      <c r="D49" s="40">
        <f t="shared" si="4"/>
        <v>48545</v>
      </c>
      <c r="E49" s="49" t="s">
        <v>92</v>
      </c>
    </row>
    <row r="50" spans="2:5" x14ac:dyDescent="0.4">
      <c r="B50" s="48" t="s">
        <v>81</v>
      </c>
      <c r="C50" s="39" t="str">
        <f t="shared" si="3"/>
        <v>Recycled/Reused</v>
      </c>
      <c r="D50" s="40">
        <f t="shared" si="4"/>
        <v>0</v>
      </c>
      <c r="E50" s="49" t="s">
        <v>92</v>
      </c>
    </row>
    <row r="51" spans="2:5" x14ac:dyDescent="0.4">
      <c r="B51" s="48" t="s">
        <v>82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83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84</v>
      </c>
      <c r="C53" s="39" t="str">
        <f t="shared" si="3"/>
        <v>Recycled/Reused</v>
      </c>
      <c r="D53" s="40">
        <f t="shared" si="4"/>
        <v>0</v>
      </c>
      <c r="E53" s="49" t="s">
        <v>92</v>
      </c>
    </row>
    <row r="54" spans="2:5" x14ac:dyDescent="0.4">
      <c r="B54" s="48" t="s">
        <v>85</v>
      </c>
      <c r="C54" s="39" t="str">
        <f t="shared" si="3"/>
        <v>Recycled/Reused</v>
      </c>
      <c r="D54" s="40">
        <f t="shared" si="4"/>
        <v>0</v>
      </c>
      <c r="E54" s="49" t="s">
        <v>92</v>
      </c>
    </row>
    <row r="55" spans="2:5" ht="18.5" thickBot="1" x14ac:dyDescent="0.45">
      <c r="B55" s="64" t="s">
        <v>87</v>
      </c>
      <c r="C55" s="65" t="str">
        <f t="shared" si="3"/>
        <v>Recycled/Reused</v>
      </c>
      <c r="D55" s="66">
        <f>SUMIF($B$3:$B$30,$B55,$E$3:$E$30)*1620</f>
        <v>0</v>
      </c>
      <c r="E55" s="67" t="s">
        <v>92</v>
      </c>
    </row>
    <row r="56" spans="2:5" ht="16.5" thickBot="1" x14ac:dyDescent="0.45">
      <c r="B56" s="192" t="s">
        <v>31</v>
      </c>
      <c r="C56" s="193"/>
      <c r="D56" s="194">
        <f>SUM(D33:D55)</f>
        <v>127750</v>
      </c>
      <c r="E56" s="195"/>
    </row>
  </sheetData>
  <mergeCells count="3">
    <mergeCell ref="C1:C2"/>
    <mergeCell ref="B56:C56"/>
    <mergeCell ref="D56:E56"/>
  </mergeCells>
  <dataValidations count="1">
    <dataValidation type="list" allowBlank="1" showInputMessage="1" showErrorMessage="1" sqref="B2" xr:uid="{E8666064-EA05-42F7-AFBC-46A98CE2A0C1}">
      <formula1>$L$2:$L$10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7BB65-F32F-4462-A728-C83123CC9B9F}">
  <sheetPr>
    <tabColor rgb="FF92D050"/>
  </sheetPr>
  <dimension ref="B1:O57"/>
  <sheetViews>
    <sheetView topLeftCell="A29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12" ht="20.25" customHeight="1" thickBot="1" x14ac:dyDescent="0.45">
      <c r="B1" s="7" t="s">
        <v>37</v>
      </c>
      <c r="C1" s="187" t="s">
        <v>38</v>
      </c>
      <c r="D1" s="8" t="s">
        <v>39</v>
      </c>
      <c r="E1" s="69"/>
    </row>
    <row r="2" spans="2:12" ht="29.5" thickBot="1" x14ac:dyDescent="0.45">
      <c r="B2" s="9" t="s">
        <v>14</v>
      </c>
      <c r="C2" s="188"/>
      <c r="D2" s="77" t="s">
        <v>0</v>
      </c>
      <c r="E2" s="11" t="s">
        <v>40</v>
      </c>
      <c r="L2" s="6" t="s">
        <v>15</v>
      </c>
    </row>
    <row r="3" spans="2:12" ht="16.5" thickBot="1" x14ac:dyDescent="0.45">
      <c r="B3" s="12" t="s">
        <v>41</v>
      </c>
      <c r="C3" s="13"/>
      <c r="D3" s="38">
        <v>0</v>
      </c>
      <c r="E3" s="14">
        <f t="shared" ref="E3:E29" si="0">SUM(D3:D3)</f>
        <v>0</v>
      </c>
      <c r="I3" s="1" t="s">
        <v>42</v>
      </c>
      <c r="J3" s="1" t="s">
        <v>43</v>
      </c>
      <c r="L3" s="6" t="s">
        <v>16</v>
      </c>
    </row>
    <row r="4" spans="2:12" ht="16.5" thickBot="1" x14ac:dyDescent="0.45">
      <c r="B4" s="15" t="s">
        <v>45</v>
      </c>
      <c r="C4" s="16" t="s">
        <v>65</v>
      </c>
      <c r="D4" s="71">
        <v>0</v>
      </c>
      <c r="E4" s="18">
        <f t="shared" si="0"/>
        <v>0</v>
      </c>
      <c r="F4" s="1">
        <v>30</v>
      </c>
      <c r="G4" s="1" t="s">
        <v>47</v>
      </c>
      <c r="H4" s="1">
        <v>385</v>
      </c>
      <c r="I4" s="1">
        <f>0.46*H4*F4/2</f>
        <v>2656.5</v>
      </c>
      <c r="J4" s="1">
        <f>0.54*H4*F4/2</f>
        <v>3118.5</v>
      </c>
      <c r="L4" s="6" t="s">
        <v>17</v>
      </c>
    </row>
    <row r="5" spans="2:12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31</v>
      </c>
      <c r="G5" s="1" t="s">
        <v>13</v>
      </c>
      <c r="H5" s="1">
        <v>385</v>
      </c>
      <c r="I5" s="1">
        <f t="shared" ref="I5:I15" si="1">0.46*H5*F5/2</f>
        <v>2745.0499999999997</v>
      </c>
      <c r="J5" s="1">
        <f t="shared" ref="J5:J15" si="2">0.54*H5*F5/2</f>
        <v>3222.4500000000003</v>
      </c>
      <c r="L5" s="6" t="s">
        <v>14</v>
      </c>
    </row>
    <row r="6" spans="2:12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30</v>
      </c>
      <c r="G6" s="1" t="s">
        <v>53</v>
      </c>
      <c r="H6" s="1">
        <v>385</v>
      </c>
      <c r="I6" s="1">
        <f t="shared" si="1"/>
        <v>2656.5</v>
      </c>
      <c r="J6" s="1">
        <f t="shared" si="2"/>
        <v>3118.5</v>
      </c>
      <c r="L6" s="6" t="s">
        <v>18</v>
      </c>
    </row>
    <row r="7" spans="2:12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31</v>
      </c>
      <c r="G7" s="1" t="s">
        <v>55</v>
      </c>
      <c r="H7" s="1">
        <v>385</v>
      </c>
      <c r="I7" s="1">
        <f t="shared" si="1"/>
        <v>2745.0499999999997</v>
      </c>
      <c r="J7" s="1">
        <f t="shared" si="2"/>
        <v>3222.4500000000003</v>
      </c>
      <c r="L7" s="6" t="s">
        <v>19</v>
      </c>
    </row>
    <row r="8" spans="2:12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57</v>
      </c>
      <c r="H8" s="1">
        <v>385</v>
      </c>
      <c r="I8" s="1">
        <f t="shared" si="1"/>
        <v>2745.0499999999997</v>
      </c>
      <c r="J8" s="1">
        <f t="shared" si="2"/>
        <v>3222.4500000000003</v>
      </c>
      <c r="L8" s="6" t="s">
        <v>20</v>
      </c>
    </row>
    <row r="9" spans="2:12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30</v>
      </c>
      <c r="G9" s="1" t="s">
        <v>59</v>
      </c>
      <c r="H9" s="1">
        <v>385</v>
      </c>
      <c r="I9" s="1">
        <f t="shared" si="1"/>
        <v>2656.5</v>
      </c>
      <c r="J9" s="1">
        <f t="shared" si="2"/>
        <v>3118.5</v>
      </c>
      <c r="L9" s="6" t="s">
        <v>21</v>
      </c>
    </row>
    <row r="10" spans="2:12" ht="16.5" thickBot="1" x14ac:dyDescent="0.45">
      <c r="B10" s="12" t="s">
        <v>60</v>
      </c>
      <c r="C10" s="23"/>
      <c r="D10" s="38">
        <v>24608</v>
      </c>
      <c r="E10" s="24">
        <f t="shared" si="0"/>
        <v>24608</v>
      </c>
      <c r="F10" s="1">
        <v>31</v>
      </c>
      <c r="G10" s="1" t="s">
        <v>61</v>
      </c>
      <c r="H10" s="1">
        <v>385</v>
      </c>
      <c r="I10" s="1">
        <f t="shared" si="1"/>
        <v>2745.0499999999997</v>
      </c>
      <c r="J10" s="1">
        <f t="shared" si="2"/>
        <v>3222.4500000000003</v>
      </c>
      <c r="L10" s="6" t="s">
        <v>22</v>
      </c>
    </row>
    <row r="11" spans="2:12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30</v>
      </c>
      <c r="G11" s="1" t="s">
        <v>63</v>
      </c>
      <c r="H11" s="1">
        <v>385</v>
      </c>
      <c r="I11" s="1">
        <f t="shared" si="1"/>
        <v>2656.5</v>
      </c>
      <c r="J11" s="1">
        <f t="shared" si="2"/>
        <v>3118.5</v>
      </c>
    </row>
    <row r="12" spans="2:12" x14ac:dyDescent="0.4">
      <c r="B12" s="39" t="s">
        <v>64</v>
      </c>
      <c r="C12" s="40" t="s">
        <v>46</v>
      </c>
      <c r="D12" s="74">
        <v>24608</v>
      </c>
      <c r="E12" s="41">
        <f t="shared" si="0"/>
        <v>24608</v>
      </c>
      <c r="F12" s="1">
        <v>31</v>
      </c>
      <c r="G12" s="1" t="s">
        <v>66</v>
      </c>
      <c r="H12" s="1">
        <v>385</v>
      </c>
      <c r="I12" s="1">
        <f t="shared" si="1"/>
        <v>2745.0499999999997</v>
      </c>
      <c r="J12" s="1">
        <f t="shared" si="2"/>
        <v>3222.4500000000003</v>
      </c>
    </row>
    <row r="13" spans="2:12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68</v>
      </c>
      <c r="H13" s="1">
        <v>385</v>
      </c>
      <c r="I13" s="1">
        <f t="shared" si="1"/>
        <v>2745.0499999999997</v>
      </c>
      <c r="J13" s="1">
        <f t="shared" si="2"/>
        <v>3222.4500000000003</v>
      </c>
    </row>
    <row r="14" spans="2:12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28</v>
      </c>
      <c r="G14" s="1" t="s">
        <v>70</v>
      </c>
      <c r="H14" s="1">
        <v>385</v>
      </c>
      <c r="I14" s="1">
        <f t="shared" si="1"/>
        <v>2479.4</v>
      </c>
      <c r="J14" s="1">
        <f t="shared" si="2"/>
        <v>2910.6</v>
      </c>
    </row>
    <row r="15" spans="2:12" x14ac:dyDescent="0.4">
      <c r="B15" s="39" t="s">
        <v>71</v>
      </c>
      <c r="C15" s="28" t="s">
        <v>46</v>
      </c>
      <c r="D15" s="74">
        <v>0</v>
      </c>
      <c r="E15" s="41">
        <f t="shared" si="0"/>
        <v>0</v>
      </c>
      <c r="F15" s="1">
        <v>31</v>
      </c>
      <c r="G15" s="1" t="s">
        <v>72</v>
      </c>
      <c r="H15" s="1">
        <v>385</v>
      </c>
      <c r="I15" s="1">
        <f t="shared" si="1"/>
        <v>2745.0499999999997</v>
      </c>
      <c r="J15" s="1">
        <f t="shared" si="2"/>
        <v>3222.4500000000003</v>
      </c>
    </row>
    <row r="16" spans="2:12" x14ac:dyDescent="0.4">
      <c r="B16" s="39" t="s">
        <v>73</v>
      </c>
      <c r="C16" s="28" t="s">
        <v>46</v>
      </c>
      <c r="D16" s="74">
        <v>0</v>
      </c>
      <c r="E16" s="41">
        <f t="shared" si="0"/>
        <v>0</v>
      </c>
      <c r="I16" s="1">
        <f>SUM(I4:I15)</f>
        <v>32320.749999999996</v>
      </c>
      <c r="J16" s="1">
        <f>SUM(J4:J15)</f>
        <v>37941.75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65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J16</f>
        <v>37941.75</v>
      </c>
      <c r="E23" s="41">
        <f t="shared" si="0"/>
        <v>37941.75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72">
        <f>D30</f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Landfill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6" si="3">VLOOKUP($B34,$B$4:$C$30,2,0)</f>
        <v>Recycled/Reused</v>
      </c>
      <c r="D34" s="40">
        <f t="shared" ref="D34:D54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 t="str">
        <f t="shared" si="3"/>
        <v>Recycled/Reused</v>
      </c>
      <c r="D35" s="40">
        <f t="shared" si="4"/>
        <v>0</v>
      </c>
      <c r="E35" s="49" t="s">
        <v>93</v>
      </c>
      <c r="G35" s="50" t="s">
        <v>46</v>
      </c>
      <c r="H35" s="55">
        <f>SUMIFS($D$33:$D$56,$C$33:$C$56,$G35)</f>
        <v>24608</v>
      </c>
    </row>
    <row r="36" spans="2:15" ht="16.5" thickBot="1" x14ac:dyDescent="0.45">
      <c r="B36" s="48" t="s">
        <v>58</v>
      </c>
      <c r="C36" s="39" t="str">
        <f t="shared" si="3"/>
        <v>Recycled/Reused</v>
      </c>
      <c r="D36" s="40">
        <f t="shared" si="4"/>
        <v>0</v>
      </c>
      <c r="E36" s="49" t="s">
        <v>93</v>
      </c>
      <c r="G36" s="52" t="s">
        <v>65</v>
      </c>
      <c r="H36" s="78">
        <f>SUMIFS($D$33:$D$56,$C$33:$C$56,$G36)</f>
        <v>37941.75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D57-SUM(D35:D36)</f>
        <v>62549.75</v>
      </c>
    </row>
    <row r="38" spans="2:15" ht="32.5" thickBot="1" x14ac:dyDescent="0.45">
      <c r="B38" s="48" t="s">
        <v>64</v>
      </c>
      <c r="C38" s="39" t="str">
        <f t="shared" si="3"/>
        <v>Recycled/Reused</v>
      </c>
      <c r="D38" s="40">
        <f t="shared" si="4"/>
        <v>24608</v>
      </c>
      <c r="E38" s="49" t="s">
        <v>92</v>
      </c>
      <c r="G38" s="56" t="s">
        <v>94</v>
      </c>
      <c r="H38" s="75">
        <f>IF(ISERROR(H35/H37), "ZERO Waste Generated", (H35/H37))</f>
        <v>0.39341484178593839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 t="shared" si="4"/>
        <v>0</v>
      </c>
      <c r="E42" s="49" t="s">
        <v>92</v>
      </c>
      <c r="G42" s="58" t="s">
        <v>95</v>
      </c>
      <c r="H42" s="51">
        <f>D38*0.5</f>
        <v>12304</v>
      </c>
    </row>
    <row r="43" spans="2:15" x14ac:dyDescent="0.4">
      <c r="B43" s="48" t="s">
        <v>74</v>
      </c>
      <c r="C43" s="39" t="str">
        <f t="shared" si="3"/>
        <v>Landfill</v>
      </c>
      <c r="D43" s="40">
        <f t="shared" si="4"/>
        <v>0</v>
      </c>
      <c r="E43" s="49" t="s">
        <v>92</v>
      </c>
      <c r="G43" s="59" t="s">
        <v>96</v>
      </c>
      <c r="H43" s="60">
        <f>SUM(D41,D47,D53)</f>
        <v>0</v>
      </c>
    </row>
    <row r="44" spans="2:15" ht="16.5" thickBot="1" x14ac:dyDescent="0.45">
      <c r="B44" s="48" t="s">
        <v>75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D54</f>
        <v>0</v>
      </c>
    </row>
    <row r="45" spans="2:15" x14ac:dyDescent="0.4">
      <c r="B45" s="48" t="s">
        <v>76</v>
      </c>
      <c r="C45" s="39" t="str">
        <f t="shared" si="3"/>
        <v>Recycled/Reused</v>
      </c>
      <c r="D45" s="40">
        <f t="shared" si="4"/>
        <v>0</v>
      </c>
      <c r="E45" s="49" t="s">
        <v>92</v>
      </c>
    </row>
    <row r="46" spans="2:15" x14ac:dyDescent="0.4">
      <c r="B46" s="48" t="s">
        <v>77</v>
      </c>
      <c r="C46" s="39" t="str">
        <f t="shared" si="3"/>
        <v>Landfill</v>
      </c>
      <c r="D46" s="40">
        <f t="shared" si="4"/>
        <v>0</v>
      </c>
      <c r="E46" s="49" t="s">
        <v>92</v>
      </c>
    </row>
    <row r="47" spans="2:15" x14ac:dyDescent="0.4">
      <c r="B47" s="48" t="s">
        <v>78</v>
      </c>
      <c r="C47" s="39" t="str">
        <f t="shared" si="3"/>
        <v>Landfill</v>
      </c>
      <c r="D47" s="40">
        <f t="shared" si="4"/>
        <v>0</v>
      </c>
      <c r="E47" s="49" t="s">
        <v>92</v>
      </c>
    </row>
    <row r="48" spans="2:15" x14ac:dyDescent="0.4">
      <c r="B48" s="48" t="s">
        <v>79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80</v>
      </c>
      <c r="C49" s="39" t="str">
        <f t="shared" si="3"/>
        <v>Landfill</v>
      </c>
      <c r="D49" s="40">
        <f t="shared" si="4"/>
        <v>37941.75</v>
      </c>
      <c r="E49" s="49" t="s">
        <v>92</v>
      </c>
    </row>
    <row r="50" spans="2:5" x14ac:dyDescent="0.4">
      <c r="B50" s="48" t="s">
        <v>81</v>
      </c>
      <c r="C50" s="39" t="str">
        <f t="shared" si="3"/>
        <v>Recycled/Reused</v>
      </c>
      <c r="D50" s="40">
        <f t="shared" si="4"/>
        <v>0</v>
      </c>
      <c r="E50" s="49" t="s">
        <v>92</v>
      </c>
    </row>
    <row r="51" spans="2:5" x14ac:dyDescent="0.4">
      <c r="B51" s="48" t="s">
        <v>82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83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84</v>
      </c>
      <c r="C53" s="39" t="str">
        <f t="shared" si="3"/>
        <v>Recycled/Reused</v>
      </c>
      <c r="D53" s="40">
        <f t="shared" si="4"/>
        <v>0</v>
      </c>
      <c r="E53" s="49" t="s">
        <v>92</v>
      </c>
    </row>
    <row r="54" spans="2:5" x14ac:dyDescent="0.4">
      <c r="B54" s="48" t="s">
        <v>85</v>
      </c>
      <c r="C54" s="39" t="str">
        <f t="shared" si="3"/>
        <v>Recycled/Reused</v>
      </c>
      <c r="D54" s="40">
        <f t="shared" si="4"/>
        <v>0</v>
      </c>
      <c r="E54" s="49" t="s">
        <v>92</v>
      </c>
    </row>
    <row r="55" spans="2:5" ht="18.5" thickBot="1" x14ac:dyDescent="0.45">
      <c r="B55" s="64" t="s">
        <v>87</v>
      </c>
      <c r="C55" s="65" t="s">
        <v>65</v>
      </c>
      <c r="D55" s="66">
        <f>SUMIF($B$3:$B$30,$B55,$E$3:$E$30)*1620*0.5</f>
        <v>0</v>
      </c>
      <c r="E55" s="67" t="s">
        <v>92</v>
      </c>
    </row>
    <row r="56" spans="2:5" ht="18.5" thickBot="1" x14ac:dyDescent="0.45">
      <c r="B56" s="64" t="s">
        <v>87</v>
      </c>
      <c r="C56" s="65" t="str">
        <f t="shared" si="3"/>
        <v>Recycled/Reused</v>
      </c>
      <c r="D56" s="66">
        <f>SUMIF($B$3:$B$30,$B56,$E$3:$E$30)*1620*0.5</f>
        <v>0</v>
      </c>
      <c r="E56" s="67" t="s">
        <v>92</v>
      </c>
    </row>
    <row r="57" spans="2:5" ht="16.5" thickBot="1" x14ac:dyDescent="0.45">
      <c r="B57" s="192" t="s">
        <v>31</v>
      </c>
      <c r="C57" s="193"/>
      <c r="D57" s="194">
        <f>SUM(D33:D56)</f>
        <v>62549.75</v>
      </c>
      <c r="E57" s="195"/>
    </row>
  </sheetData>
  <mergeCells count="3">
    <mergeCell ref="C1:C2"/>
    <mergeCell ref="B57:C57"/>
    <mergeCell ref="D57:E57"/>
  </mergeCells>
  <dataValidations count="1">
    <dataValidation type="list" allowBlank="1" showInputMessage="1" showErrorMessage="1" sqref="B2" xr:uid="{2AF3E82D-EA39-48F2-9BFF-213B0BA7B1C0}">
      <formula1>$L$2:$L$10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66AE8-994D-4531-8C28-0B6105CFF36F}">
  <sheetPr>
    <tabColor rgb="FF92D050"/>
  </sheetPr>
  <dimension ref="B1:O57"/>
  <sheetViews>
    <sheetView topLeftCell="A37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11.1796875" style="1" bestFit="1" customWidth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12" ht="20.25" customHeight="1" thickBot="1" x14ac:dyDescent="0.45">
      <c r="B1" s="7" t="s">
        <v>37</v>
      </c>
      <c r="C1" s="187" t="s">
        <v>38</v>
      </c>
      <c r="D1" s="76" t="s">
        <v>39</v>
      </c>
      <c r="E1" s="69"/>
    </row>
    <row r="2" spans="2:12" ht="16.5" thickBot="1" x14ac:dyDescent="0.45">
      <c r="B2" s="9" t="s">
        <v>14</v>
      </c>
      <c r="C2" s="188"/>
      <c r="D2" s="70" t="s">
        <v>1</v>
      </c>
      <c r="E2" s="11" t="s">
        <v>40</v>
      </c>
      <c r="L2" s="6" t="s">
        <v>15</v>
      </c>
    </row>
    <row r="3" spans="2:12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I3" s="1" t="s">
        <v>42</v>
      </c>
      <c r="J3" s="1" t="s">
        <v>43</v>
      </c>
      <c r="L3" s="6" t="s">
        <v>16</v>
      </c>
    </row>
    <row r="4" spans="2:12" ht="16.5" thickBot="1" x14ac:dyDescent="0.45">
      <c r="B4" s="15" t="s">
        <v>45</v>
      </c>
      <c r="C4" s="16" t="s">
        <v>46</v>
      </c>
      <c r="D4" s="71">
        <v>0</v>
      </c>
      <c r="E4" s="18">
        <f t="shared" si="0"/>
        <v>0</v>
      </c>
      <c r="F4" s="1">
        <v>30</v>
      </c>
      <c r="G4" s="1" t="s">
        <v>47</v>
      </c>
      <c r="H4" s="1">
        <v>125</v>
      </c>
      <c r="I4" s="1">
        <f>0.45*H4*F4/2</f>
        <v>843.75</v>
      </c>
      <c r="J4" s="1">
        <f>0.55*H4*F4/2</f>
        <v>1031.25</v>
      </c>
      <c r="L4" s="6" t="s">
        <v>17</v>
      </c>
    </row>
    <row r="5" spans="2:12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31</v>
      </c>
      <c r="G5" s="1" t="s">
        <v>13</v>
      </c>
      <c r="H5" s="1">
        <v>125</v>
      </c>
      <c r="I5" s="1">
        <f t="shared" ref="I5:I15" si="1">0.45*H5*F5/2</f>
        <v>871.875</v>
      </c>
      <c r="J5" s="1">
        <f t="shared" ref="J5:J15" si="2">0.55*H5*F5/2</f>
        <v>1065.625</v>
      </c>
      <c r="L5" s="6" t="s">
        <v>14</v>
      </c>
    </row>
    <row r="6" spans="2:12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30</v>
      </c>
      <c r="G6" s="1" t="s">
        <v>53</v>
      </c>
      <c r="H6" s="1">
        <v>125</v>
      </c>
      <c r="I6" s="1">
        <f t="shared" si="1"/>
        <v>843.75</v>
      </c>
      <c r="J6" s="1">
        <f t="shared" si="2"/>
        <v>1031.25</v>
      </c>
      <c r="L6" s="6" t="s">
        <v>18</v>
      </c>
    </row>
    <row r="7" spans="2:12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31</v>
      </c>
      <c r="G7" s="1" t="s">
        <v>55</v>
      </c>
      <c r="H7" s="1">
        <v>125</v>
      </c>
      <c r="I7" s="1">
        <f t="shared" si="1"/>
        <v>871.875</v>
      </c>
      <c r="J7" s="1">
        <f t="shared" si="2"/>
        <v>1065.625</v>
      </c>
      <c r="L7" s="6" t="s">
        <v>19</v>
      </c>
    </row>
    <row r="8" spans="2:12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57</v>
      </c>
      <c r="H8" s="1">
        <v>125</v>
      </c>
      <c r="I8" s="1">
        <f t="shared" si="1"/>
        <v>871.875</v>
      </c>
      <c r="J8" s="1">
        <f t="shared" si="2"/>
        <v>1065.625</v>
      </c>
      <c r="L8" s="6" t="s">
        <v>20</v>
      </c>
    </row>
    <row r="9" spans="2:12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30</v>
      </c>
      <c r="G9" s="1" t="s">
        <v>59</v>
      </c>
      <c r="H9" s="1">
        <v>125</v>
      </c>
      <c r="I9" s="1">
        <f t="shared" si="1"/>
        <v>843.75</v>
      </c>
      <c r="J9" s="1">
        <f t="shared" si="2"/>
        <v>1031.25</v>
      </c>
      <c r="L9" s="6" t="s">
        <v>21</v>
      </c>
    </row>
    <row r="10" spans="2:12" ht="16.5" thickBot="1" x14ac:dyDescent="0.45">
      <c r="B10" s="12" t="s">
        <v>60</v>
      </c>
      <c r="C10" s="23"/>
      <c r="D10" s="38">
        <v>21429.95</v>
      </c>
      <c r="E10" s="24">
        <f t="shared" si="0"/>
        <v>21429.95</v>
      </c>
      <c r="F10" s="1">
        <v>31</v>
      </c>
      <c r="G10" s="1" t="s">
        <v>61</v>
      </c>
      <c r="H10" s="1">
        <v>125</v>
      </c>
      <c r="I10" s="1">
        <f t="shared" si="1"/>
        <v>871.875</v>
      </c>
      <c r="J10" s="1">
        <f t="shared" si="2"/>
        <v>1065.625</v>
      </c>
      <c r="L10" s="6" t="s">
        <v>22</v>
      </c>
    </row>
    <row r="11" spans="2:12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30</v>
      </c>
      <c r="G11" s="1" t="s">
        <v>63</v>
      </c>
      <c r="H11" s="1">
        <v>125</v>
      </c>
      <c r="I11" s="1">
        <f t="shared" si="1"/>
        <v>843.75</v>
      </c>
      <c r="J11" s="1">
        <f t="shared" si="2"/>
        <v>1031.25</v>
      </c>
    </row>
    <row r="12" spans="2:12" x14ac:dyDescent="0.4">
      <c r="B12" s="39" t="s">
        <v>64</v>
      </c>
      <c r="C12" s="40" t="s">
        <v>65</v>
      </c>
      <c r="D12" s="74">
        <v>20084.2</v>
      </c>
      <c r="E12" s="41">
        <f t="shared" si="0"/>
        <v>20084.2</v>
      </c>
      <c r="F12" s="1">
        <v>31</v>
      </c>
      <c r="G12" s="1" t="s">
        <v>66</v>
      </c>
      <c r="H12" s="1">
        <v>125</v>
      </c>
      <c r="I12" s="1">
        <f t="shared" si="1"/>
        <v>871.875</v>
      </c>
      <c r="J12" s="1">
        <f t="shared" si="2"/>
        <v>1065.625</v>
      </c>
    </row>
    <row r="13" spans="2:12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68</v>
      </c>
      <c r="H13" s="1">
        <v>125</v>
      </c>
      <c r="I13" s="1">
        <f t="shared" si="1"/>
        <v>871.875</v>
      </c>
      <c r="J13" s="1">
        <f t="shared" si="2"/>
        <v>1065.625</v>
      </c>
    </row>
    <row r="14" spans="2:12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28</v>
      </c>
      <c r="G14" s="1" t="s">
        <v>70</v>
      </c>
      <c r="H14" s="1">
        <v>125</v>
      </c>
      <c r="I14" s="1">
        <f t="shared" si="1"/>
        <v>787.5</v>
      </c>
      <c r="J14" s="1">
        <f t="shared" si="2"/>
        <v>962.5</v>
      </c>
    </row>
    <row r="15" spans="2:12" x14ac:dyDescent="0.4">
      <c r="B15" s="39" t="s">
        <v>71</v>
      </c>
      <c r="C15" s="28" t="s">
        <v>46</v>
      </c>
      <c r="D15" s="74">
        <v>0</v>
      </c>
      <c r="E15" s="41">
        <f t="shared" si="0"/>
        <v>0</v>
      </c>
      <c r="F15" s="1">
        <v>31</v>
      </c>
      <c r="G15" s="1" t="s">
        <v>72</v>
      </c>
      <c r="H15" s="1">
        <v>125</v>
      </c>
      <c r="I15" s="1">
        <f t="shared" si="1"/>
        <v>871.875</v>
      </c>
      <c r="J15" s="1">
        <f t="shared" si="2"/>
        <v>1065.625</v>
      </c>
    </row>
    <row r="16" spans="2:12" x14ac:dyDescent="0.4">
      <c r="B16" s="39" t="s">
        <v>73</v>
      </c>
      <c r="C16" s="28" t="s">
        <v>46</v>
      </c>
      <c r="D16" s="74">
        <v>1345.75</v>
      </c>
      <c r="E16" s="41">
        <f t="shared" si="0"/>
        <v>1345.75</v>
      </c>
      <c r="I16" s="1">
        <f>SUM(I4:I15)</f>
        <v>10265.625</v>
      </c>
      <c r="J16" s="1">
        <f>SUM(J4:J15)</f>
        <v>12546.875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65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65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J16</f>
        <v>12546.875</v>
      </c>
      <c r="E23" s="41">
        <f t="shared" si="0"/>
        <v>12546.875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Recycled/Reused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6" si="3">VLOOKUP($B34,$B$4:$C$30,2,0)</f>
        <v>Recycled/Reused</v>
      </c>
      <c r="D34" s="40">
        <f t="shared" ref="D34:D55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 t="str">
        <f t="shared" si="3"/>
        <v>Recycled/Reused</v>
      </c>
      <c r="D35" s="40">
        <f t="shared" si="4"/>
        <v>0</v>
      </c>
      <c r="E35" s="49" t="s">
        <v>93</v>
      </c>
      <c r="G35" s="50" t="s">
        <v>46</v>
      </c>
      <c r="H35" s="51">
        <f>SUMIFS($D$33:$D$56,$C$33:$C$56,$G35)</f>
        <v>1345.75</v>
      </c>
    </row>
    <row r="36" spans="2:15" ht="16.5" thickBot="1" x14ac:dyDescent="0.45">
      <c r="B36" s="48" t="s">
        <v>58</v>
      </c>
      <c r="C36" s="39" t="str">
        <f t="shared" si="3"/>
        <v>Recycled/Reused</v>
      </c>
      <c r="D36" s="40">
        <f t="shared" si="4"/>
        <v>0</v>
      </c>
      <c r="E36" s="49" t="s">
        <v>93</v>
      </c>
      <c r="G36" s="52" t="s">
        <v>65</v>
      </c>
      <c r="H36" s="53">
        <f>SUMIFS($D$33:$D$56,$C$33:$C$56,$G36)</f>
        <v>32631.075000000001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D57-SUM(D35:D36)</f>
        <v>33976.824999999997</v>
      </c>
    </row>
    <row r="38" spans="2:15" ht="32.5" thickBot="1" x14ac:dyDescent="0.45">
      <c r="B38" s="48" t="s">
        <v>64</v>
      </c>
      <c r="C38" s="39" t="str">
        <f t="shared" si="3"/>
        <v>Landfill</v>
      </c>
      <c r="D38" s="40">
        <f t="shared" si="4"/>
        <v>20084.2</v>
      </c>
      <c r="E38" s="49" t="s">
        <v>92</v>
      </c>
      <c r="G38" s="56" t="s">
        <v>94</v>
      </c>
      <c r="H38" s="75">
        <f>IF(ISERROR(H35/H37), "ZERO Waste Generated", (H35/H37))</f>
        <v>3.9607879782763693E-2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 t="shared" si="4"/>
        <v>1345.75</v>
      </c>
      <c r="E42" s="49" t="s">
        <v>92</v>
      </c>
      <c r="G42" s="58" t="s">
        <v>95</v>
      </c>
      <c r="H42" s="51">
        <f>D38*0.5</f>
        <v>10042.1</v>
      </c>
    </row>
    <row r="43" spans="2:15" x14ac:dyDescent="0.4">
      <c r="B43" s="48" t="s">
        <v>74</v>
      </c>
      <c r="C43" s="39" t="str">
        <f t="shared" si="3"/>
        <v>Landfill</v>
      </c>
      <c r="D43" s="40">
        <f t="shared" si="4"/>
        <v>0</v>
      </c>
      <c r="E43" s="49" t="s">
        <v>92</v>
      </c>
      <c r="G43" s="59" t="s">
        <v>96</v>
      </c>
      <c r="H43" s="60">
        <f>SUM(D41,D48,D54)</f>
        <v>0</v>
      </c>
    </row>
    <row r="44" spans="2:15" ht="16.5" thickBot="1" x14ac:dyDescent="0.45">
      <c r="B44" s="48" t="s">
        <v>75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D55</f>
        <v>0</v>
      </c>
    </row>
    <row r="45" spans="2:15" x14ac:dyDescent="0.4">
      <c r="B45" s="48" t="s">
        <v>76</v>
      </c>
      <c r="C45" s="39" t="str">
        <f t="shared" si="3"/>
        <v>Recycled/Reused</v>
      </c>
      <c r="D45" s="40">
        <f t="shared" si="4"/>
        <v>0</v>
      </c>
      <c r="E45" s="49" t="s">
        <v>92</v>
      </c>
    </row>
    <row r="46" spans="2:15" x14ac:dyDescent="0.4">
      <c r="B46" s="48" t="s">
        <v>77</v>
      </c>
      <c r="C46" s="39" t="s">
        <v>46</v>
      </c>
      <c r="D46" s="40">
        <f>SUMIF($B$3:$B$30,$B46,$E$3:$E$30)*0.5</f>
        <v>0</v>
      </c>
      <c r="E46" s="49" t="s">
        <v>92</v>
      </c>
    </row>
    <row r="47" spans="2:15" x14ac:dyDescent="0.4">
      <c r="B47" s="48" t="s">
        <v>77</v>
      </c>
      <c r="C47" s="39" t="str">
        <f t="shared" si="3"/>
        <v>Landfill</v>
      </c>
      <c r="D47" s="40">
        <f>SUMIF($B$3:$B$30,$B47,$E$3:$E$30)*0.5</f>
        <v>0</v>
      </c>
      <c r="E47" s="49" t="s">
        <v>92</v>
      </c>
    </row>
    <row r="48" spans="2:15" x14ac:dyDescent="0.4">
      <c r="B48" s="48" t="s">
        <v>78</v>
      </c>
      <c r="C48" s="39" t="str">
        <f t="shared" si="3"/>
        <v>Landfill</v>
      </c>
      <c r="D48" s="40">
        <f t="shared" si="4"/>
        <v>0</v>
      </c>
      <c r="E48" s="49" t="s">
        <v>92</v>
      </c>
    </row>
    <row r="49" spans="2:5" x14ac:dyDescent="0.4">
      <c r="B49" s="48" t="s">
        <v>79</v>
      </c>
      <c r="C49" s="39" t="str">
        <f t="shared" si="3"/>
        <v>Landfill</v>
      </c>
      <c r="D49" s="40">
        <f t="shared" si="4"/>
        <v>0</v>
      </c>
      <c r="E49" s="49" t="s">
        <v>92</v>
      </c>
    </row>
    <row r="50" spans="2:5" x14ac:dyDescent="0.4">
      <c r="B50" s="48" t="s">
        <v>80</v>
      </c>
      <c r="C50" s="39" t="str">
        <f t="shared" si="3"/>
        <v>Landfill</v>
      </c>
      <c r="D50" s="40">
        <f t="shared" si="4"/>
        <v>12546.875</v>
      </c>
      <c r="E50" s="49" t="s">
        <v>92</v>
      </c>
    </row>
    <row r="51" spans="2:5" x14ac:dyDescent="0.4">
      <c r="B51" s="48" t="s">
        <v>81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82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83</v>
      </c>
      <c r="C53" s="39" t="str">
        <f t="shared" si="3"/>
        <v>Recycled/Reused</v>
      </c>
      <c r="D53" s="40">
        <f t="shared" si="4"/>
        <v>0</v>
      </c>
      <c r="E53" s="49" t="s">
        <v>92</v>
      </c>
    </row>
    <row r="54" spans="2:5" x14ac:dyDescent="0.4">
      <c r="B54" s="48" t="s">
        <v>84</v>
      </c>
      <c r="C54" s="39" t="str">
        <f t="shared" si="3"/>
        <v>Recycled/Reused</v>
      </c>
      <c r="D54" s="40">
        <f t="shared" si="4"/>
        <v>0</v>
      </c>
      <c r="E54" s="49" t="s">
        <v>92</v>
      </c>
    </row>
    <row r="55" spans="2:5" x14ac:dyDescent="0.4">
      <c r="B55" s="48" t="s">
        <v>85</v>
      </c>
      <c r="C55" s="39" t="str">
        <f t="shared" si="3"/>
        <v>Recycled/Reused</v>
      </c>
      <c r="D55" s="40">
        <f t="shared" si="4"/>
        <v>0</v>
      </c>
      <c r="E55" s="49" t="s">
        <v>92</v>
      </c>
    </row>
    <row r="56" spans="2:5" ht="18.5" thickBot="1" x14ac:dyDescent="0.45">
      <c r="B56" s="64" t="s">
        <v>87</v>
      </c>
      <c r="C56" s="65" t="str">
        <f t="shared" si="3"/>
        <v>Recycled/Reused</v>
      </c>
      <c r="D56" s="66">
        <f>SUMIF($B$3:$B$30,$B56,$E$3:$E$30)*1620</f>
        <v>0</v>
      </c>
      <c r="E56" s="67" t="s">
        <v>92</v>
      </c>
    </row>
    <row r="57" spans="2:5" ht="16.5" thickBot="1" x14ac:dyDescent="0.45">
      <c r="B57" s="192" t="s">
        <v>31</v>
      </c>
      <c r="C57" s="193"/>
      <c r="D57" s="194">
        <f>SUM(D33:D56)</f>
        <v>33976.824999999997</v>
      </c>
      <c r="E57" s="195"/>
    </row>
  </sheetData>
  <mergeCells count="3">
    <mergeCell ref="C1:C2"/>
    <mergeCell ref="B57:C57"/>
    <mergeCell ref="D57:E57"/>
  </mergeCells>
  <dataValidations count="1">
    <dataValidation type="list" allowBlank="1" showInputMessage="1" showErrorMessage="1" sqref="B2" xr:uid="{922FD7DA-0B15-4123-A2B6-93391ACCAA0B}">
      <formula1>$L$2:$L$10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2513A-FFA8-4831-A121-F6F6114BFB62}">
  <sheetPr>
    <tabColor rgb="FF92D050"/>
  </sheetPr>
  <dimension ref="B1:T59"/>
  <sheetViews>
    <sheetView topLeftCell="A25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11.1796875" style="1" bestFit="1" customWidth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20" ht="20.25" customHeight="1" thickBot="1" x14ac:dyDescent="0.45">
      <c r="B1" s="7" t="s">
        <v>37</v>
      </c>
      <c r="C1" s="187" t="s">
        <v>38</v>
      </c>
      <c r="D1" s="76" t="s">
        <v>39</v>
      </c>
      <c r="E1" s="69"/>
    </row>
    <row r="2" spans="2:20" ht="16.5" thickBot="1" x14ac:dyDescent="0.45">
      <c r="B2" s="9" t="s">
        <v>14</v>
      </c>
      <c r="C2" s="188"/>
      <c r="D2" s="10" t="s">
        <v>2</v>
      </c>
      <c r="E2" s="11" t="s">
        <v>40</v>
      </c>
      <c r="K2" s="6" t="s">
        <v>16</v>
      </c>
      <c r="L2" s="6" t="s">
        <v>15</v>
      </c>
      <c r="N2" s="189" t="s">
        <v>44</v>
      </c>
      <c r="O2" s="190"/>
      <c r="P2" s="190"/>
      <c r="Q2" s="190"/>
      <c r="R2" s="190"/>
      <c r="S2" s="190"/>
      <c r="T2" s="191"/>
    </row>
    <row r="3" spans="2:20" ht="16.5" thickBot="1" x14ac:dyDescent="0.45">
      <c r="B3" s="12" t="s">
        <v>41</v>
      </c>
      <c r="C3" s="13"/>
      <c r="D3" s="38">
        <v>0</v>
      </c>
      <c r="E3" s="14">
        <f t="shared" ref="E3:E31" si="0">SUM(D3:D3)</f>
        <v>0</v>
      </c>
      <c r="I3" s="1" t="s">
        <v>42</v>
      </c>
      <c r="J3" s="1" t="s">
        <v>43</v>
      </c>
      <c r="K3" s="6" t="s">
        <v>17</v>
      </c>
      <c r="L3" s="6" t="s">
        <v>16</v>
      </c>
      <c r="N3" s="19" t="s">
        <v>48</v>
      </c>
      <c r="O3" s="20"/>
      <c r="P3" s="21" t="s">
        <v>49</v>
      </c>
      <c r="Q3" s="20"/>
      <c r="R3" s="20"/>
      <c r="S3" s="20"/>
      <c r="T3" s="22"/>
    </row>
    <row r="4" spans="2:20" ht="16.5" thickBot="1" x14ac:dyDescent="0.45">
      <c r="B4" s="15" t="s">
        <v>45</v>
      </c>
      <c r="C4" s="16" t="s">
        <v>65</v>
      </c>
      <c r="D4" s="71">
        <v>0</v>
      </c>
      <c r="E4" s="18">
        <f t="shared" si="0"/>
        <v>0</v>
      </c>
      <c r="F4" s="1">
        <v>30</v>
      </c>
      <c r="G4" s="1" t="s">
        <v>47</v>
      </c>
      <c r="H4" s="1">
        <v>50</v>
      </c>
      <c r="I4" s="1">
        <f>0.6*H4*F4/2</f>
        <v>450</v>
      </c>
      <c r="J4" s="1">
        <f>0.4*H4*F4/2</f>
        <v>300</v>
      </c>
      <c r="K4" s="6" t="s">
        <v>14</v>
      </c>
      <c r="L4" s="6" t="s">
        <v>17</v>
      </c>
      <c r="N4" s="25" t="s">
        <v>33</v>
      </c>
      <c r="O4" s="26"/>
      <c r="P4" s="26"/>
      <c r="Q4" s="26">
        <v>0.45</v>
      </c>
      <c r="R4" s="26"/>
      <c r="S4" s="26"/>
      <c r="T4" s="27" t="s">
        <v>51</v>
      </c>
    </row>
    <row r="5" spans="2:20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31</v>
      </c>
      <c r="G5" s="1" t="s">
        <v>13</v>
      </c>
      <c r="H5" s="1">
        <v>50</v>
      </c>
      <c r="I5" s="1">
        <f t="shared" ref="I5:I15" si="1">0.6*H5*F5/2</f>
        <v>465</v>
      </c>
      <c r="J5" s="1">
        <f t="shared" ref="J5:J15" si="2">0.4*H5*F5/2</f>
        <v>310</v>
      </c>
      <c r="K5" s="6" t="s">
        <v>18</v>
      </c>
      <c r="L5" s="6" t="s">
        <v>14</v>
      </c>
      <c r="N5" s="25" t="s">
        <v>36</v>
      </c>
      <c r="O5" s="26"/>
      <c r="P5" s="26"/>
      <c r="Q5" s="26">
        <v>0.46</v>
      </c>
      <c r="R5" s="26"/>
      <c r="S5" s="26"/>
      <c r="T5" s="27" t="s">
        <v>51</v>
      </c>
    </row>
    <row r="6" spans="2:20" ht="16.5" thickBot="1" x14ac:dyDescent="0.45">
      <c r="B6" s="15" t="s">
        <v>99</v>
      </c>
      <c r="C6" s="28" t="s">
        <v>65</v>
      </c>
      <c r="D6" s="71">
        <v>0</v>
      </c>
      <c r="E6" s="18">
        <f t="shared" si="0"/>
        <v>0</v>
      </c>
      <c r="F6" s="1">
        <v>30</v>
      </c>
      <c r="G6" s="1" t="s">
        <v>53</v>
      </c>
      <c r="H6" s="1">
        <v>50</v>
      </c>
      <c r="I6" s="1">
        <f t="shared" si="1"/>
        <v>450</v>
      </c>
      <c r="J6" s="1">
        <f t="shared" si="2"/>
        <v>300</v>
      </c>
      <c r="K6" s="6" t="s">
        <v>19</v>
      </c>
      <c r="L6" s="6" t="s">
        <v>18</v>
      </c>
      <c r="N6" s="25" t="s">
        <v>32</v>
      </c>
      <c r="O6" s="26"/>
      <c r="P6" s="26"/>
      <c r="Q6" s="26">
        <v>0.62</v>
      </c>
      <c r="R6" s="26"/>
      <c r="S6" s="26"/>
      <c r="T6" s="27" t="s">
        <v>51</v>
      </c>
    </row>
    <row r="7" spans="2:20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31</v>
      </c>
      <c r="G7" s="1" t="s">
        <v>55</v>
      </c>
      <c r="H7" s="1">
        <v>50</v>
      </c>
      <c r="I7" s="1">
        <f t="shared" si="1"/>
        <v>465</v>
      </c>
      <c r="J7" s="1">
        <f t="shared" si="2"/>
        <v>310</v>
      </c>
      <c r="K7" s="6" t="s">
        <v>20</v>
      </c>
      <c r="L7" s="6" t="s">
        <v>19</v>
      </c>
      <c r="N7" s="25" t="s">
        <v>35</v>
      </c>
      <c r="O7" s="26"/>
      <c r="P7" s="26"/>
      <c r="Q7" s="26">
        <v>0.39</v>
      </c>
      <c r="R7" s="26"/>
      <c r="S7" s="26"/>
      <c r="T7" s="27" t="s">
        <v>51</v>
      </c>
    </row>
    <row r="8" spans="2:20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57</v>
      </c>
      <c r="H8" s="1">
        <v>50</v>
      </c>
      <c r="I8" s="1">
        <f t="shared" si="1"/>
        <v>465</v>
      </c>
      <c r="J8" s="1">
        <f t="shared" si="2"/>
        <v>310</v>
      </c>
      <c r="K8" s="6" t="s">
        <v>21</v>
      </c>
      <c r="L8" s="6" t="s">
        <v>20</v>
      </c>
      <c r="N8" s="35" t="s">
        <v>34</v>
      </c>
      <c r="O8" s="36"/>
      <c r="P8" s="36"/>
      <c r="Q8" s="36">
        <v>0.56999999999999995</v>
      </c>
      <c r="R8" s="36"/>
      <c r="S8" s="36"/>
      <c r="T8" s="37" t="s">
        <v>51</v>
      </c>
    </row>
    <row r="9" spans="2:20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30</v>
      </c>
      <c r="G9" s="1" t="s">
        <v>59</v>
      </c>
      <c r="H9" s="1">
        <v>50</v>
      </c>
      <c r="I9" s="1">
        <f t="shared" si="1"/>
        <v>450</v>
      </c>
      <c r="J9" s="1">
        <f t="shared" si="2"/>
        <v>300</v>
      </c>
      <c r="K9" s="6" t="s">
        <v>22</v>
      </c>
      <c r="L9" s="6" t="s">
        <v>21</v>
      </c>
    </row>
    <row r="10" spans="2:20" ht="16.5" thickBot="1" x14ac:dyDescent="0.45">
      <c r="B10" s="12" t="s">
        <v>60</v>
      </c>
      <c r="C10" s="23"/>
      <c r="D10" s="38">
        <v>4419380</v>
      </c>
      <c r="E10" s="24">
        <f t="shared" si="0"/>
        <v>4419380</v>
      </c>
      <c r="F10" s="1">
        <v>31</v>
      </c>
      <c r="G10" s="1" t="s">
        <v>61</v>
      </c>
      <c r="H10" s="1">
        <v>50</v>
      </c>
      <c r="I10" s="1">
        <f t="shared" si="1"/>
        <v>465</v>
      </c>
      <c r="J10" s="1">
        <f t="shared" si="2"/>
        <v>310</v>
      </c>
      <c r="L10" s="6" t="s">
        <v>22</v>
      </c>
    </row>
    <row r="11" spans="2:20" x14ac:dyDescent="0.4">
      <c r="B11" s="29" t="s">
        <v>62</v>
      </c>
      <c r="C11" s="28" t="s">
        <v>46</v>
      </c>
      <c r="D11" s="72">
        <v>3130</v>
      </c>
      <c r="E11" s="31">
        <f t="shared" si="0"/>
        <v>3130</v>
      </c>
      <c r="F11" s="1">
        <v>30</v>
      </c>
      <c r="G11" s="1" t="s">
        <v>63</v>
      </c>
      <c r="H11" s="1">
        <v>50</v>
      </c>
      <c r="I11" s="1">
        <f t="shared" si="1"/>
        <v>450</v>
      </c>
      <c r="J11" s="1">
        <f t="shared" si="2"/>
        <v>300</v>
      </c>
    </row>
    <row r="12" spans="2:20" x14ac:dyDescent="0.4">
      <c r="B12" s="39" t="s">
        <v>64</v>
      </c>
      <c r="C12" s="40" t="s">
        <v>65</v>
      </c>
      <c r="D12" s="41">
        <f>I16</f>
        <v>5475</v>
      </c>
      <c r="E12" s="41">
        <f t="shared" si="0"/>
        <v>5475</v>
      </c>
      <c r="F12" s="1">
        <v>31</v>
      </c>
      <c r="G12" s="1" t="s">
        <v>66</v>
      </c>
      <c r="H12" s="1">
        <v>50</v>
      </c>
      <c r="I12" s="1">
        <f t="shared" si="1"/>
        <v>465</v>
      </c>
      <c r="J12" s="1">
        <f t="shared" si="2"/>
        <v>310</v>
      </c>
    </row>
    <row r="13" spans="2:20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68</v>
      </c>
      <c r="H13" s="1">
        <v>50</v>
      </c>
      <c r="I13" s="1">
        <f t="shared" si="1"/>
        <v>465</v>
      </c>
      <c r="J13" s="1">
        <f t="shared" si="2"/>
        <v>310</v>
      </c>
    </row>
    <row r="14" spans="2:20" x14ac:dyDescent="0.4">
      <c r="B14" s="39" t="s">
        <v>69</v>
      </c>
      <c r="C14" s="28" t="s">
        <v>46</v>
      </c>
      <c r="D14" s="74">
        <v>4330070</v>
      </c>
      <c r="E14" s="41">
        <f t="shared" si="0"/>
        <v>4330070</v>
      </c>
      <c r="F14" s="1">
        <v>28</v>
      </c>
      <c r="G14" s="1" t="s">
        <v>70</v>
      </c>
      <c r="H14" s="1">
        <v>50</v>
      </c>
      <c r="I14" s="1">
        <f t="shared" si="1"/>
        <v>420</v>
      </c>
      <c r="J14" s="1">
        <f t="shared" si="2"/>
        <v>280</v>
      </c>
    </row>
    <row r="15" spans="2:20" x14ac:dyDescent="0.4">
      <c r="B15" s="39" t="s">
        <v>71</v>
      </c>
      <c r="C15" s="28" t="s">
        <v>46</v>
      </c>
      <c r="D15" s="79">
        <v>0</v>
      </c>
      <c r="E15" s="41">
        <f t="shared" si="0"/>
        <v>0</v>
      </c>
      <c r="F15" s="1">
        <v>31</v>
      </c>
      <c r="G15" s="1" t="s">
        <v>72</v>
      </c>
      <c r="H15" s="1">
        <v>50</v>
      </c>
      <c r="I15" s="1">
        <f t="shared" si="1"/>
        <v>465</v>
      </c>
      <c r="J15" s="1">
        <f t="shared" si="2"/>
        <v>310</v>
      </c>
    </row>
    <row r="16" spans="2:20" x14ac:dyDescent="0.4">
      <c r="B16" s="39" t="s">
        <v>73</v>
      </c>
      <c r="C16" s="28" t="s">
        <v>65</v>
      </c>
      <c r="D16" s="74">
        <v>0</v>
      </c>
      <c r="E16" s="41">
        <f t="shared" si="0"/>
        <v>0</v>
      </c>
      <c r="I16" s="1">
        <f>SUM(I4:I15)</f>
        <v>5475</v>
      </c>
      <c r="J16" s="1">
        <f>SUM(J4:J15)</f>
        <v>3650</v>
      </c>
    </row>
    <row r="17" spans="2:15" x14ac:dyDescent="0.4">
      <c r="B17" s="39" t="s">
        <v>74</v>
      </c>
      <c r="C17" s="40" t="s">
        <v>46</v>
      </c>
      <c r="D17" s="74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83650</v>
      </c>
      <c r="E19" s="41">
        <f t="shared" si="0"/>
        <v>83650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J16</f>
        <v>3650</v>
      </c>
      <c r="E23" s="41">
        <f t="shared" si="0"/>
        <v>3650</v>
      </c>
    </row>
    <row r="24" spans="2:15" x14ac:dyDescent="0.4">
      <c r="B24" s="39" t="s">
        <v>80</v>
      </c>
      <c r="C24" s="28" t="s">
        <v>46</v>
      </c>
      <c r="D24" s="74">
        <v>0</v>
      </c>
      <c r="E24" s="41">
        <f>SUM(D24:D24)</f>
        <v>0</v>
      </c>
    </row>
    <row r="25" spans="2:15" x14ac:dyDescent="0.4">
      <c r="B25" s="39" t="s">
        <v>81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82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83</v>
      </c>
      <c r="C27" s="28" t="s">
        <v>46</v>
      </c>
      <c r="D27" s="74">
        <v>0</v>
      </c>
      <c r="E27" s="41">
        <f t="shared" si="0"/>
        <v>0</v>
      </c>
    </row>
    <row r="28" spans="2:15" x14ac:dyDescent="0.4">
      <c r="B28" s="39" t="s">
        <v>84</v>
      </c>
      <c r="C28" s="28" t="s">
        <v>46</v>
      </c>
      <c r="D28" s="74">
        <v>0</v>
      </c>
      <c r="E28" s="41">
        <f t="shared" si="0"/>
        <v>0</v>
      </c>
    </row>
    <row r="29" spans="2:15" ht="16.5" thickBot="1" x14ac:dyDescent="0.45">
      <c r="B29" s="32" t="s">
        <v>85</v>
      </c>
      <c r="C29" s="28" t="s">
        <v>46</v>
      </c>
      <c r="D29" s="73">
        <v>1900</v>
      </c>
      <c r="E29" s="34">
        <f t="shared" si="0"/>
        <v>1900</v>
      </c>
    </row>
    <row r="30" spans="2:15" ht="18.5" thickBot="1" x14ac:dyDescent="0.45">
      <c r="B30" s="12" t="s">
        <v>86</v>
      </c>
      <c r="C30" s="23"/>
      <c r="D30" s="38">
        <v>637950</v>
      </c>
      <c r="E30" s="24">
        <f t="shared" si="0"/>
        <v>637950</v>
      </c>
    </row>
    <row r="31" spans="2:15" ht="18" x14ac:dyDescent="0.4">
      <c r="B31" s="29" t="s">
        <v>87</v>
      </c>
      <c r="C31" s="43" t="s">
        <v>46</v>
      </c>
      <c r="D31" s="72">
        <v>637950</v>
      </c>
      <c r="E31" s="31">
        <f t="shared" si="0"/>
        <v>637950</v>
      </c>
    </row>
    <row r="32" spans="2:15" ht="16.5" thickBot="1" x14ac:dyDescent="0.45">
      <c r="O32" s="44"/>
    </row>
    <row r="33" spans="2:15" ht="32" x14ac:dyDescent="0.4">
      <c r="B33" s="45" t="s">
        <v>88</v>
      </c>
      <c r="C33" s="46" t="s">
        <v>89</v>
      </c>
      <c r="D33" s="46" t="s">
        <v>90</v>
      </c>
      <c r="E33" s="47" t="s">
        <v>91</v>
      </c>
      <c r="O33" s="44"/>
    </row>
    <row r="34" spans="2:15" x14ac:dyDescent="0.4">
      <c r="B34" s="48" t="s">
        <v>45</v>
      </c>
      <c r="C34" s="39" t="str">
        <f>VLOOKUP($B34,$B$4:$C$31,2,0)</f>
        <v>Landfill</v>
      </c>
      <c r="D34" s="40">
        <f>(SUMIF($B$3:$B$31,$B34,$E$3:$E$31)*1000)/1.1</f>
        <v>0</v>
      </c>
      <c r="E34" s="49" t="s">
        <v>92</v>
      </c>
      <c r="O34" s="44"/>
    </row>
    <row r="35" spans="2:15" ht="16.5" thickBot="1" x14ac:dyDescent="0.45">
      <c r="B35" s="48" t="str">
        <f>B6</f>
        <v>Asbestos sheets [kg]</v>
      </c>
      <c r="C35" s="39" t="str">
        <f>VLOOKUP($B35,$B$4:$C$31,2,0)</f>
        <v>Landfill</v>
      </c>
      <c r="D35" s="40">
        <f t="shared" ref="D35:D46" si="3">SUMIF($B$3:$B$31,$B35,$E$3:$E$31)</f>
        <v>0</v>
      </c>
      <c r="E35" s="49" t="s">
        <v>92</v>
      </c>
    </row>
    <row r="36" spans="2:15" ht="16.5" thickBot="1" x14ac:dyDescent="0.45">
      <c r="B36" s="48" t="s">
        <v>56</v>
      </c>
      <c r="C36" s="39" t="str">
        <f t="shared" ref="C36:C46" si="4">VLOOKUP($B36,$B$4:$C$31,2,0)</f>
        <v>Recycled/Reused</v>
      </c>
      <c r="D36" s="40">
        <f t="shared" si="3"/>
        <v>0</v>
      </c>
      <c r="E36" s="49" t="s">
        <v>93</v>
      </c>
      <c r="G36" s="50" t="s">
        <v>46</v>
      </c>
      <c r="H36" s="51">
        <f>SUMIFS($D$34:$D$58,$C$34:$C$58,$G36)</f>
        <v>5056700</v>
      </c>
    </row>
    <row r="37" spans="2:15" ht="16.5" thickBot="1" x14ac:dyDescent="0.45">
      <c r="B37" s="48" t="s">
        <v>58</v>
      </c>
      <c r="C37" s="39" t="str">
        <f t="shared" si="4"/>
        <v>Recycled/Reused</v>
      </c>
      <c r="D37" s="40">
        <f t="shared" si="3"/>
        <v>0</v>
      </c>
      <c r="E37" s="49" t="s">
        <v>93</v>
      </c>
      <c r="G37" s="52" t="s">
        <v>65</v>
      </c>
      <c r="H37" s="53">
        <f>SUMIFS($D$34:$D$58,$C$34:$C$58,$G37)</f>
        <v>9125</v>
      </c>
    </row>
    <row r="38" spans="2:15" ht="16.5" thickBot="1" x14ac:dyDescent="0.45">
      <c r="B38" s="48" t="s">
        <v>62</v>
      </c>
      <c r="C38" s="39" t="str">
        <f t="shared" si="4"/>
        <v>Recycled/Reused</v>
      </c>
      <c r="D38" s="40">
        <f t="shared" si="3"/>
        <v>3130</v>
      </c>
      <c r="E38" s="49" t="s">
        <v>92</v>
      </c>
      <c r="G38" s="54" t="s">
        <v>31</v>
      </c>
      <c r="H38" s="55">
        <f>D59-SUM(D36:D37)</f>
        <v>5065825</v>
      </c>
    </row>
    <row r="39" spans="2:15" ht="32.5" thickBot="1" x14ac:dyDescent="0.45">
      <c r="B39" s="48" t="s">
        <v>64</v>
      </c>
      <c r="C39" s="39" t="str">
        <f t="shared" si="4"/>
        <v>Landfill</v>
      </c>
      <c r="D39" s="40">
        <f t="shared" si="3"/>
        <v>5475</v>
      </c>
      <c r="E39" s="49" t="s">
        <v>92</v>
      </c>
      <c r="G39" s="56" t="s">
        <v>94</v>
      </c>
      <c r="H39" s="75">
        <f>IF(ISERROR(H36/H38), "ZERO Waste Generated", (H36/H38))</f>
        <v>0.99819871393109716</v>
      </c>
    </row>
    <row r="40" spans="2:15" x14ac:dyDescent="0.4">
      <c r="B40" s="48" t="s">
        <v>67</v>
      </c>
      <c r="C40" s="39" t="str">
        <f t="shared" si="4"/>
        <v>Landfill</v>
      </c>
      <c r="D40" s="40">
        <f t="shared" si="3"/>
        <v>0</v>
      </c>
      <c r="E40" s="49" t="s">
        <v>92</v>
      </c>
    </row>
    <row r="41" spans="2:15" x14ac:dyDescent="0.4">
      <c r="B41" s="48" t="s">
        <v>69</v>
      </c>
      <c r="C41" s="39" t="str">
        <f t="shared" si="4"/>
        <v>Recycled/Reused</v>
      </c>
      <c r="D41" s="40">
        <f t="shared" si="3"/>
        <v>4330070</v>
      </c>
      <c r="E41" s="49" t="s">
        <v>92</v>
      </c>
    </row>
    <row r="42" spans="2:15" ht="16.5" thickBot="1" x14ac:dyDescent="0.45">
      <c r="B42" s="48" t="s">
        <v>71</v>
      </c>
      <c r="C42" s="39" t="str">
        <f t="shared" si="4"/>
        <v>Recycled/Reused</v>
      </c>
      <c r="D42" s="40">
        <f t="shared" si="3"/>
        <v>0</v>
      </c>
      <c r="E42" s="49" t="s">
        <v>92</v>
      </c>
    </row>
    <row r="43" spans="2:15" x14ac:dyDescent="0.4">
      <c r="B43" s="48" t="s">
        <v>73</v>
      </c>
      <c r="C43" s="39" t="str">
        <f t="shared" si="4"/>
        <v>Landfill</v>
      </c>
      <c r="D43" s="40">
        <f t="shared" si="3"/>
        <v>0</v>
      </c>
      <c r="E43" s="49" t="s">
        <v>92</v>
      </c>
      <c r="G43" s="58" t="s">
        <v>95</v>
      </c>
      <c r="H43" s="51">
        <f>D39*0.5</f>
        <v>2737.5</v>
      </c>
    </row>
    <row r="44" spans="2:15" x14ac:dyDescent="0.4">
      <c r="B44" s="48" t="s">
        <v>74</v>
      </c>
      <c r="C44" s="39" t="str">
        <f t="shared" si="4"/>
        <v>Recycled/Reused</v>
      </c>
      <c r="D44" s="40">
        <f t="shared" si="3"/>
        <v>0</v>
      </c>
      <c r="E44" s="49" t="s">
        <v>92</v>
      </c>
      <c r="G44" s="59" t="s">
        <v>96</v>
      </c>
      <c r="H44" s="60">
        <f>SUM(D42,D49,D56)</f>
        <v>0</v>
      </c>
    </row>
    <row r="45" spans="2:15" ht="16.5" thickBot="1" x14ac:dyDescent="0.45">
      <c r="B45" s="48" t="s">
        <v>75</v>
      </c>
      <c r="C45" s="39" t="str">
        <f t="shared" si="4"/>
        <v>Landfill</v>
      </c>
      <c r="D45" s="40">
        <f t="shared" si="3"/>
        <v>0</v>
      </c>
      <c r="E45" s="49" t="s">
        <v>92</v>
      </c>
      <c r="G45" s="61" t="s">
        <v>97</v>
      </c>
      <c r="H45" s="62">
        <f>D57</f>
        <v>1900</v>
      </c>
    </row>
    <row r="46" spans="2:15" x14ac:dyDescent="0.4">
      <c r="B46" s="48" t="s">
        <v>76</v>
      </c>
      <c r="C46" s="39" t="str">
        <f t="shared" si="4"/>
        <v>Recycled/Reused</v>
      </c>
      <c r="D46" s="40">
        <f t="shared" si="3"/>
        <v>83650</v>
      </c>
      <c r="E46" s="49" t="s">
        <v>92</v>
      </c>
    </row>
    <row r="47" spans="2:15" x14ac:dyDescent="0.4">
      <c r="B47" s="48" t="s">
        <v>77</v>
      </c>
      <c r="C47" s="39" t="s">
        <v>46</v>
      </c>
      <c r="D47" s="40">
        <f>SUMIF($B$3:$B$31,$B47,$E$3:$E$31)*0.9</f>
        <v>0</v>
      </c>
      <c r="E47" s="49" t="s">
        <v>92</v>
      </c>
    </row>
    <row r="48" spans="2:15" x14ac:dyDescent="0.4">
      <c r="B48" s="48" t="s">
        <v>77</v>
      </c>
      <c r="C48" s="39" t="str">
        <f>VLOOKUP($B48,$B$4:$C$31,2,0)</f>
        <v>Landfill</v>
      </c>
      <c r="D48" s="40">
        <f>SUMIF($B$3:$B$31,$B48,$E$3:$E$31)*0.1</f>
        <v>0</v>
      </c>
      <c r="E48" s="49" t="s">
        <v>92</v>
      </c>
    </row>
    <row r="49" spans="2:5" x14ac:dyDescent="0.4">
      <c r="B49" s="48" t="s">
        <v>78</v>
      </c>
      <c r="C49" s="39" t="str">
        <f>VLOOKUP($B49,$B$4:$C$31,2,0)</f>
        <v>Recycled/Reused</v>
      </c>
      <c r="D49" s="40">
        <f>SUMIF($B$3:$B$31,$B49,$E$3:$E$31)</f>
        <v>0</v>
      </c>
      <c r="E49" s="49" t="s">
        <v>92</v>
      </c>
    </row>
    <row r="50" spans="2:5" x14ac:dyDescent="0.4">
      <c r="B50" s="48" t="s">
        <v>79</v>
      </c>
      <c r="C50" s="39" t="str">
        <f>VLOOKUP($B50,$B$4:$C$31,2,0)</f>
        <v>Recycled/Reused</v>
      </c>
      <c r="D50" s="40">
        <f>SUMIF($B$3:$B$31,$B50,$E$3:$E$31)</f>
        <v>0</v>
      </c>
      <c r="E50" s="49" t="s">
        <v>92</v>
      </c>
    </row>
    <row r="51" spans="2:5" x14ac:dyDescent="0.4">
      <c r="B51" s="48" t="s">
        <v>80</v>
      </c>
      <c r="C51" s="39" t="str">
        <f>VLOOKUP($B51,$B$4:$C$31,2,0)</f>
        <v>Landfill</v>
      </c>
      <c r="D51" s="40">
        <f>SUMIFS($E$3:$E$31, $B$3:$B$31,$B51, $C$3:$C$31, $C51)</f>
        <v>3650</v>
      </c>
      <c r="E51" s="49" t="s">
        <v>92</v>
      </c>
    </row>
    <row r="52" spans="2:5" x14ac:dyDescent="0.4">
      <c r="B52" s="48" t="s">
        <v>80</v>
      </c>
      <c r="C52" s="39" t="s">
        <v>46</v>
      </c>
      <c r="D52" s="40">
        <f>SUMIFS($E$3:$E$31, $B$3:$B$31,$B52, $C$3:$C$31, $C52)</f>
        <v>0</v>
      </c>
      <c r="E52" s="49" t="s">
        <v>92</v>
      </c>
    </row>
    <row r="53" spans="2:5" x14ac:dyDescent="0.4">
      <c r="B53" s="48" t="s">
        <v>81</v>
      </c>
      <c r="C53" s="39" t="str">
        <f t="shared" ref="C53:C58" si="5">VLOOKUP($B53,$B$4:$C$31,2,0)</f>
        <v>Recycled/Reused</v>
      </c>
      <c r="D53" s="40">
        <f t="shared" ref="D53:D58" si="6">SUMIF($B$3:$B$31,$B53,$E$3:$E$31)</f>
        <v>0</v>
      </c>
      <c r="E53" s="49" t="s">
        <v>92</v>
      </c>
    </row>
    <row r="54" spans="2:5" x14ac:dyDescent="0.4">
      <c r="B54" s="48" t="s">
        <v>82</v>
      </c>
      <c r="C54" s="39" t="str">
        <f t="shared" si="5"/>
        <v>Recycled/Reused</v>
      </c>
      <c r="D54" s="40">
        <f t="shared" si="6"/>
        <v>0</v>
      </c>
      <c r="E54" s="49" t="s">
        <v>92</v>
      </c>
    </row>
    <row r="55" spans="2:5" x14ac:dyDescent="0.4">
      <c r="B55" s="48" t="s">
        <v>83</v>
      </c>
      <c r="C55" s="39" t="str">
        <f t="shared" si="5"/>
        <v>Recycled/Reused</v>
      </c>
      <c r="D55" s="40">
        <f t="shared" si="6"/>
        <v>0</v>
      </c>
      <c r="E55" s="49" t="s">
        <v>92</v>
      </c>
    </row>
    <row r="56" spans="2:5" x14ac:dyDescent="0.4">
      <c r="B56" s="48" t="s">
        <v>84</v>
      </c>
      <c r="C56" s="39" t="str">
        <f t="shared" si="5"/>
        <v>Recycled/Reused</v>
      </c>
      <c r="D56" s="40">
        <f t="shared" si="6"/>
        <v>0</v>
      </c>
      <c r="E56" s="49" t="s">
        <v>92</v>
      </c>
    </row>
    <row r="57" spans="2:5" x14ac:dyDescent="0.4">
      <c r="B57" s="48" t="s">
        <v>85</v>
      </c>
      <c r="C57" s="39" t="str">
        <f t="shared" si="5"/>
        <v>Recycled/Reused</v>
      </c>
      <c r="D57" s="40">
        <f t="shared" si="6"/>
        <v>1900</v>
      </c>
      <c r="E57" s="49" t="s">
        <v>92</v>
      </c>
    </row>
    <row r="58" spans="2:5" ht="18.5" thickBot="1" x14ac:dyDescent="0.45">
      <c r="B58" s="64" t="s">
        <v>87</v>
      </c>
      <c r="C58" s="65" t="str">
        <f t="shared" si="5"/>
        <v>Recycled/Reused</v>
      </c>
      <c r="D58" s="66">
        <f t="shared" si="6"/>
        <v>637950</v>
      </c>
      <c r="E58" s="67" t="s">
        <v>92</v>
      </c>
    </row>
    <row r="59" spans="2:5" ht="16.5" thickBot="1" x14ac:dyDescent="0.45">
      <c r="B59" s="192" t="s">
        <v>31</v>
      </c>
      <c r="C59" s="193"/>
      <c r="D59" s="194">
        <f>SUM(D34:D58)</f>
        <v>5065825</v>
      </c>
      <c r="E59" s="195"/>
    </row>
  </sheetData>
  <mergeCells count="4">
    <mergeCell ref="C1:C2"/>
    <mergeCell ref="N2:T2"/>
    <mergeCell ref="B59:C59"/>
    <mergeCell ref="D59:E59"/>
  </mergeCells>
  <dataValidations count="1">
    <dataValidation type="list" allowBlank="1" showInputMessage="1" showErrorMessage="1" sqref="B2" xr:uid="{4D4DBD2C-6A6C-4E1A-B4FE-32CC83C89473}">
      <formula1>$L$2:$L$10</formula1>
    </dataValidation>
  </dataValidations>
  <hyperlinks>
    <hyperlink ref="P3" r:id="rId1" xr:uid="{3E2FE5AB-ABB7-4982-B050-1F474B223884}"/>
  </hyperlinks>
  <pageMargins left="0.7" right="0.7" top="0.75" bottom="0.75" header="0.3" footer="0.3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E0C49-F867-44A5-9B1B-BA0B121AA926}">
  <sheetPr>
    <tabColor rgb="FF92D050"/>
  </sheetPr>
  <dimension ref="B1:O58"/>
  <sheetViews>
    <sheetView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12" ht="20.25" customHeight="1" thickBot="1" x14ac:dyDescent="0.45">
      <c r="B1" s="7" t="s">
        <v>37</v>
      </c>
      <c r="C1" s="187" t="s">
        <v>38</v>
      </c>
      <c r="D1" s="8" t="s">
        <v>39</v>
      </c>
      <c r="E1" s="69"/>
    </row>
    <row r="2" spans="2:12" ht="29.5" thickBot="1" x14ac:dyDescent="0.45">
      <c r="B2" s="9" t="s">
        <v>14</v>
      </c>
      <c r="C2" s="188"/>
      <c r="D2" s="77" t="s">
        <v>100</v>
      </c>
      <c r="E2" s="11" t="s">
        <v>40</v>
      </c>
      <c r="L2" s="6" t="s">
        <v>15</v>
      </c>
    </row>
    <row r="3" spans="2:12" ht="16.5" thickBot="1" x14ac:dyDescent="0.45">
      <c r="B3" s="12" t="s">
        <v>41</v>
      </c>
      <c r="C3" s="13"/>
      <c r="D3" s="38">
        <v>136.5</v>
      </c>
      <c r="E3" s="14">
        <f t="shared" ref="E3:E30" si="0">SUM(D3:D3)</f>
        <v>136.5</v>
      </c>
      <c r="I3" s="1" t="s">
        <v>42</v>
      </c>
      <c r="J3" s="1" t="s">
        <v>43</v>
      </c>
      <c r="L3" s="6" t="s">
        <v>16</v>
      </c>
    </row>
    <row r="4" spans="2:12" ht="16.5" thickBot="1" x14ac:dyDescent="0.45">
      <c r="B4" s="15" t="s">
        <v>45</v>
      </c>
      <c r="C4" s="16" t="s">
        <v>46</v>
      </c>
      <c r="D4" s="71">
        <v>136.5</v>
      </c>
      <c r="E4" s="18">
        <f t="shared" si="0"/>
        <v>136.5</v>
      </c>
      <c r="F4" s="1">
        <v>30</v>
      </c>
      <c r="G4" s="1" t="s">
        <v>47</v>
      </c>
      <c r="H4" s="1">
        <v>150</v>
      </c>
      <c r="I4" s="1">
        <f>0.46*H4*F4/2</f>
        <v>1035</v>
      </c>
      <c r="J4" s="1">
        <f>0.54*H4*F4/2</f>
        <v>1215</v>
      </c>
      <c r="L4" s="6" t="s">
        <v>17</v>
      </c>
    </row>
    <row r="5" spans="2:12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F5" s="1">
        <v>31</v>
      </c>
      <c r="G5" s="1" t="s">
        <v>13</v>
      </c>
      <c r="H5" s="1">
        <v>150</v>
      </c>
      <c r="I5" s="1">
        <f t="shared" ref="I5:I15" si="1">0.46*H5*F5/2</f>
        <v>1069.5</v>
      </c>
      <c r="J5" s="1">
        <f t="shared" ref="J5:J15" si="2">0.54*H5*F5/2</f>
        <v>1255.5</v>
      </c>
      <c r="L5" s="6" t="s">
        <v>14</v>
      </c>
    </row>
    <row r="6" spans="2:12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30</v>
      </c>
      <c r="G6" s="1" t="s">
        <v>53</v>
      </c>
      <c r="H6" s="1">
        <v>150</v>
      </c>
      <c r="I6" s="1">
        <f t="shared" si="1"/>
        <v>1035</v>
      </c>
      <c r="J6" s="1">
        <f t="shared" si="2"/>
        <v>1215</v>
      </c>
      <c r="L6" s="6" t="s">
        <v>18</v>
      </c>
    </row>
    <row r="7" spans="2:12" ht="16.5" thickBot="1" x14ac:dyDescent="0.45">
      <c r="B7" s="12" t="s">
        <v>54</v>
      </c>
      <c r="C7" s="23"/>
      <c r="D7" s="38">
        <v>177</v>
      </c>
      <c r="E7" s="24">
        <f t="shared" si="0"/>
        <v>177</v>
      </c>
      <c r="F7" s="1">
        <v>31</v>
      </c>
      <c r="G7" s="1" t="s">
        <v>55</v>
      </c>
      <c r="H7" s="1">
        <v>150</v>
      </c>
      <c r="I7" s="1">
        <f t="shared" si="1"/>
        <v>1069.5</v>
      </c>
      <c r="J7" s="1">
        <f t="shared" si="2"/>
        <v>1255.5</v>
      </c>
      <c r="L7" s="6" t="s">
        <v>19</v>
      </c>
    </row>
    <row r="8" spans="2:12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31</v>
      </c>
      <c r="G8" s="1" t="s">
        <v>57</v>
      </c>
      <c r="H8" s="1">
        <v>150</v>
      </c>
      <c r="I8" s="1">
        <f t="shared" si="1"/>
        <v>1069.5</v>
      </c>
      <c r="J8" s="1">
        <f t="shared" si="2"/>
        <v>1255.5</v>
      </c>
      <c r="L8" s="6" t="s">
        <v>20</v>
      </c>
    </row>
    <row r="9" spans="2:12" ht="16.5" thickBot="1" x14ac:dyDescent="0.45">
      <c r="B9" s="32" t="s">
        <v>58</v>
      </c>
      <c r="C9" s="28" t="s">
        <v>46</v>
      </c>
      <c r="D9" s="73">
        <v>177</v>
      </c>
      <c r="E9" s="34">
        <f t="shared" si="0"/>
        <v>177</v>
      </c>
      <c r="F9" s="1">
        <v>30</v>
      </c>
      <c r="G9" s="1" t="s">
        <v>59</v>
      </c>
      <c r="H9" s="1">
        <v>150</v>
      </c>
      <c r="I9" s="1">
        <f t="shared" si="1"/>
        <v>1035</v>
      </c>
      <c r="J9" s="1">
        <f t="shared" si="2"/>
        <v>1215</v>
      </c>
      <c r="L9" s="6" t="s">
        <v>21</v>
      </c>
    </row>
    <row r="10" spans="2:12" ht="16.5" thickBot="1" x14ac:dyDescent="0.45">
      <c r="B10" s="12" t="s">
        <v>60</v>
      </c>
      <c r="C10" s="23"/>
      <c r="D10" s="38">
        <v>27499.22</v>
      </c>
      <c r="E10" s="24">
        <f t="shared" si="0"/>
        <v>27499.22</v>
      </c>
      <c r="F10" s="1">
        <v>31</v>
      </c>
      <c r="G10" s="1" t="s">
        <v>61</v>
      </c>
      <c r="H10" s="1">
        <v>150</v>
      </c>
      <c r="I10" s="1">
        <f t="shared" si="1"/>
        <v>1069.5</v>
      </c>
      <c r="J10" s="1">
        <f t="shared" si="2"/>
        <v>1255.5</v>
      </c>
      <c r="L10" s="6" t="s">
        <v>22</v>
      </c>
    </row>
    <row r="11" spans="2:12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30</v>
      </c>
      <c r="G11" s="1" t="s">
        <v>63</v>
      </c>
      <c r="H11" s="1">
        <v>150</v>
      </c>
      <c r="I11" s="1">
        <f t="shared" si="1"/>
        <v>1035</v>
      </c>
      <c r="J11" s="1">
        <f t="shared" si="2"/>
        <v>1215</v>
      </c>
    </row>
    <row r="12" spans="2:12" x14ac:dyDescent="0.4">
      <c r="B12" s="39" t="s">
        <v>64</v>
      </c>
      <c r="C12" s="40" t="s">
        <v>46</v>
      </c>
      <c r="D12" s="41">
        <v>409.85</v>
      </c>
      <c r="E12" s="41">
        <f t="shared" si="0"/>
        <v>409.85</v>
      </c>
      <c r="F12" s="1">
        <v>31</v>
      </c>
      <c r="G12" s="1" t="s">
        <v>66</v>
      </c>
      <c r="H12" s="1">
        <v>150</v>
      </c>
      <c r="I12" s="1">
        <f t="shared" si="1"/>
        <v>1069.5</v>
      </c>
      <c r="J12" s="1">
        <f t="shared" si="2"/>
        <v>1255.5</v>
      </c>
    </row>
    <row r="13" spans="2:12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31</v>
      </c>
      <c r="G13" s="1" t="s">
        <v>68</v>
      </c>
      <c r="H13" s="1">
        <v>150</v>
      </c>
      <c r="I13" s="1">
        <f t="shared" si="1"/>
        <v>1069.5</v>
      </c>
      <c r="J13" s="1">
        <f t="shared" si="2"/>
        <v>1255.5</v>
      </c>
    </row>
    <row r="14" spans="2:12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28</v>
      </c>
      <c r="G14" s="1" t="s">
        <v>70</v>
      </c>
      <c r="H14" s="1">
        <v>150</v>
      </c>
      <c r="I14" s="1">
        <f t="shared" si="1"/>
        <v>966</v>
      </c>
      <c r="J14" s="1">
        <f t="shared" si="2"/>
        <v>1134</v>
      </c>
    </row>
    <row r="15" spans="2:12" x14ac:dyDescent="0.4">
      <c r="B15" s="39" t="s">
        <v>71</v>
      </c>
      <c r="C15" s="28" t="s">
        <v>46</v>
      </c>
      <c r="D15" s="74">
        <v>0</v>
      </c>
      <c r="E15" s="41">
        <f t="shared" si="0"/>
        <v>0</v>
      </c>
      <c r="F15" s="1">
        <v>31</v>
      </c>
      <c r="G15" s="1" t="s">
        <v>72</v>
      </c>
      <c r="H15" s="1">
        <v>150</v>
      </c>
      <c r="I15" s="1">
        <f t="shared" si="1"/>
        <v>1069.5</v>
      </c>
      <c r="J15" s="1">
        <f t="shared" si="2"/>
        <v>1255.5</v>
      </c>
    </row>
    <row r="16" spans="2:12" x14ac:dyDescent="0.4">
      <c r="B16" s="39" t="s">
        <v>73</v>
      </c>
      <c r="C16" s="28" t="s">
        <v>46</v>
      </c>
      <c r="D16" s="74">
        <v>0</v>
      </c>
      <c r="E16" s="41">
        <f t="shared" si="0"/>
        <v>0</v>
      </c>
      <c r="I16" s="1">
        <f>SUM(I4:I15)</f>
        <v>12592.5</v>
      </c>
      <c r="J16" s="1">
        <f>SUM(J4:J15)</f>
        <v>14782.5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</row>
    <row r="19" spans="2:15" x14ac:dyDescent="0.4">
      <c r="B19" s="39" t="s">
        <v>76</v>
      </c>
      <c r="C19" s="28" t="s">
        <v>46</v>
      </c>
      <c r="D19" s="74">
        <v>13850</v>
      </c>
      <c r="E19" s="41">
        <f t="shared" si="0"/>
        <v>13850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46</v>
      </c>
      <c r="D22" s="74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46</v>
      </c>
      <c r="D23" s="74">
        <f>J16</f>
        <v>14782.5</v>
      </c>
      <c r="E23" s="41">
        <f t="shared" si="0"/>
        <v>14782.5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250</v>
      </c>
      <c r="E27" s="41">
        <f t="shared" si="0"/>
        <v>250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  <c r="G28" s="1" t="s">
        <v>92</v>
      </c>
    </row>
    <row r="29" spans="2:15" ht="18.5" thickBot="1" x14ac:dyDescent="0.45">
      <c r="B29" s="12" t="s">
        <v>86</v>
      </c>
      <c r="C29" s="23"/>
      <c r="D29" s="38">
        <f>D30</f>
        <v>1101</v>
      </c>
      <c r="E29" s="24">
        <f t="shared" si="0"/>
        <v>1101</v>
      </c>
      <c r="G29" s="1">
        <v>1</v>
      </c>
      <c r="H29" s="1">
        <v>1.1000000000000001</v>
      </c>
      <c r="I29" s="1" t="s">
        <v>101</v>
      </c>
    </row>
    <row r="30" spans="2:15" ht="18" x14ac:dyDescent="0.4">
      <c r="B30" s="29" t="s">
        <v>87</v>
      </c>
      <c r="C30" s="43" t="s">
        <v>46</v>
      </c>
      <c r="D30" s="72">
        <v>1101</v>
      </c>
      <c r="E30" s="31">
        <f t="shared" si="0"/>
        <v>1101</v>
      </c>
      <c r="G30" s="1">
        <f>90/H29</f>
        <v>81.818181818181813</v>
      </c>
      <c r="H30" s="1">
        <v>90</v>
      </c>
      <c r="I30" s="1" t="s">
        <v>102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Recycled/Reused</v>
      </c>
      <c r="D33" s="40">
        <f>(SUMIF($B$3:$B$30,$B33,$E$3:$E$30)*1000)/1.1</f>
        <v>124090.90909090907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5" si="3">VLOOKUP($B34,$B$4:$C$30,2,0)</f>
        <v>Recycled/Reused</v>
      </c>
      <c r="D34" s="40">
        <f t="shared" ref="D34:D54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 t="str">
        <f t="shared" si="3"/>
        <v>Recycled/Reused</v>
      </c>
      <c r="D35" s="40">
        <f t="shared" si="4"/>
        <v>0</v>
      </c>
      <c r="E35" s="49" t="s">
        <v>93</v>
      </c>
      <c r="G35" s="50" t="s">
        <v>46</v>
      </c>
      <c r="H35" s="51">
        <f>SUMIFS($D$33:$D$55,$C$33:$C$55,$G35)</f>
        <v>1937180.259090909</v>
      </c>
    </row>
    <row r="36" spans="2:15" ht="16.5" thickBot="1" x14ac:dyDescent="0.45">
      <c r="B36" s="48" t="s">
        <v>58</v>
      </c>
      <c r="C36" s="39" t="str">
        <f t="shared" si="3"/>
        <v>Recycled/Reused</v>
      </c>
      <c r="D36" s="40">
        <f t="shared" si="4"/>
        <v>177</v>
      </c>
      <c r="E36" s="49" t="s">
        <v>93</v>
      </c>
      <c r="G36" s="52" t="s">
        <v>65</v>
      </c>
      <c r="H36" s="53">
        <f>SUMIFS($D$33:$D$55,$C$33:$C$55,$G36)</f>
        <v>0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D56-SUM(D35:D36)</f>
        <v>1937003.259090909</v>
      </c>
    </row>
    <row r="38" spans="2:15" ht="32.5" thickBot="1" x14ac:dyDescent="0.45">
      <c r="B38" s="48" t="s">
        <v>64</v>
      </c>
      <c r="C38" s="39" t="str">
        <f t="shared" si="3"/>
        <v>Recycled/Reused</v>
      </c>
      <c r="D38" s="40">
        <f t="shared" si="4"/>
        <v>409.85</v>
      </c>
      <c r="E38" s="49" t="s">
        <v>92</v>
      </c>
      <c r="G38" s="56" t="s">
        <v>94</v>
      </c>
      <c r="H38" s="75">
        <f>IF(ISERROR(H35/H37), "ZERO Waste Generated", (H35/H37))</f>
        <v>1.0000913782664893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Recycled/Reused</v>
      </c>
      <c r="D42" s="40">
        <f t="shared" si="4"/>
        <v>0</v>
      </c>
      <c r="E42" s="49" t="s">
        <v>92</v>
      </c>
      <c r="G42" s="58" t="s">
        <v>95</v>
      </c>
      <c r="H42" s="51">
        <f>D38*0.5</f>
        <v>204.92500000000001</v>
      </c>
    </row>
    <row r="43" spans="2:15" x14ac:dyDescent="0.4">
      <c r="B43" s="48" t="s">
        <v>74</v>
      </c>
      <c r="C43" s="39" t="str">
        <f t="shared" si="3"/>
        <v>Landfill</v>
      </c>
      <c r="D43" s="40">
        <f t="shared" si="4"/>
        <v>0</v>
      </c>
      <c r="E43" s="49" t="s">
        <v>92</v>
      </c>
      <c r="G43" s="59" t="s">
        <v>96</v>
      </c>
      <c r="H43" s="60">
        <f>SUM(D41,D47,D53)</f>
        <v>250</v>
      </c>
    </row>
    <row r="44" spans="2:15" ht="16.5" thickBot="1" x14ac:dyDescent="0.45">
      <c r="B44" s="48" t="s">
        <v>75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D54</f>
        <v>0</v>
      </c>
    </row>
    <row r="45" spans="2:15" x14ac:dyDescent="0.4">
      <c r="B45" s="48" t="s">
        <v>76</v>
      </c>
      <c r="C45" s="39" t="str">
        <f t="shared" si="3"/>
        <v>Recycled/Reused</v>
      </c>
      <c r="D45" s="40">
        <f t="shared" si="4"/>
        <v>13850</v>
      </c>
      <c r="E45" s="49" t="s">
        <v>92</v>
      </c>
    </row>
    <row r="46" spans="2:15" x14ac:dyDescent="0.4">
      <c r="B46" s="48" t="s">
        <v>77</v>
      </c>
      <c r="C46" s="39" t="str">
        <f t="shared" si="3"/>
        <v>Landfill</v>
      </c>
      <c r="D46" s="40">
        <f t="shared" si="4"/>
        <v>0</v>
      </c>
      <c r="E46" s="49" t="s">
        <v>92</v>
      </c>
    </row>
    <row r="47" spans="2:15" x14ac:dyDescent="0.4">
      <c r="B47" s="48" t="s">
        <v>78</v>
      </c>
      <c r="C47" s="39" t="str">
        <f t="shared" si="3"/>
        <v>Recycled/Reused</v>
      </c>
      <c r="D47" s="40">
        <f t="shared" si="4"/>
        <v>0</v>
      </c>
      <c r="E47" s="49" t="s">
        <v>92</v>
      </c>
    </row>
    <row r="48" spans="2:15" x14ac:dyDescent="0.4">
      <c r="B48" s="48" t="s">
        <v>79</v>
      </c>
      <c r="C48" s="39" t="str">
        <f t="shared" si="3"/>
        <v>Recycled/Reused</v>
      </c>
      <c r="D48" s="40">
        <f t="shared" si="4"/>
        <v>0</v>
      </c>
      <c r="E48" s="49" t="s">
        <v>92</v>
      </c>
    </row>
    <row r="49" spans="2:5" x14ac:dyDescent="0.4">
      <c r="B49" s="48" t="s">
        <v>80</v>
      </c>
      <c r="C49" s="39" t="str">
        <f t="shared" si="3"/>
        <v>Recycled/Reused</v>
      </c>
      <c r="D49" s="40">
        <f t="shared" si="4"/>
        <v>14782.5</v>
      </c>
      <c r="E49" s="49" t="s">
        <v>92</v>
      </c>
    </row>
    <row r="50" spans="2:5" x14ac:dyDescent="0.4">
      <c r="B50" s="48" t="s">
        <v>81</v>
      </c>
      <c r="C50" s="39" t="str">
        <f t="shared" si="3"/>
        <v>Recycled/Reused</v>
      </c>
      <c r="D50" s="40">
        <f t="shared" si="4"/>
        <v>0</v>
      </c>
      <c r="E50" s="49" t="s">
        <v>92</v>
      </c>
    </row>
    <row r="51" spans="2:5" x14ac:dyDescent="0.4">
      <c r="B51" s="48" t="s">
        <v>82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83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84</v>
      </c>
      <c r="C53" s="39" t="str">
        <f t="shared" si="3"/>
        <v>Recycled/Reused</v>
      </c>
      <c r="D53" s="40">
        <f t="shared" si="4"/>
        <v>250</v>
      </c>
      <c r="E53" s="49" t="s">
        <v>92</v>
      </c>
    </row>
    <row r="54" spans="2:5" x14ac:dyDescent="0.4">
      <c r="B54" s="48" t="s">
        <v>85</v>
      </c>
      <c r="C54" s="39" t="str">
        <f t="shared" si="3"/>
        <v>Recycled/Reused</v>
      </c>
      <c r="D54" s="40">
        <f t="shared" si="4"/>
        <v>0</v>
      </c>
      <c r="E54" s="49" t="s">
        <v>92</v>
      </c>
    </row>
    <row r="55" spans="2:5" ht="18.5" thickBot="1" x14ac:dyDescent="0.45">
      <c r="B55" s="64" t="s">
        <v>87</v>
      </c>
      <c r="C55" s="65" t="str">
        <f t="shared" si="3"/>
        <v>Recycled/Reused</v>
      </c>
      <c r="D55" s="66">
        <f>SUMIF($B$3:$B$30,$B55,$E$3:$E$30)*1620</f>
        <v>1783620</v>
      </c>
      <c r="E55" s="67" t="s">
        <v>92</v>
      </c>
    </row>
    <row r="56" spans="2:5" ht="16.5" thickBot="1" x14ac:dyDescent="0.45">
      <c r="B56" s="192" t="s">
        <v>31</v>
      </c>
      <c r="C56" s="193"/>
      <c r="D56" s="194">
        <f>SUM(D33:D55)</f>
        <v>1937180.259090909</v>
      </c>
      <c r="E56" s="195"/>
    </row>
    <row r="58" spans="2:5" x14ac:dyDescent="0.4">
      <c r="D58" s="80"/>
    </row>
  </sheetData>
  <mergeCells count="3">
    <mergeCell ref="C1:C2"/>
    <mergeCell ref="B56:C56"/>
    <mergeCell ref="D56:E56"/>
  </mergeCells>
  <dataValidations count="1">
    <dataValidation type="list" allowBlank="1" showInputMessage="1" showErrorMessage="1" sqref="B2" xr:uid="{E0BDB47F-47B5-4522-A6AE-6D0C9EFE45D5}">
      <formula1>$L$2:$L$10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BC41B-1B65-42AA-8D2A-7A8AE31D2145}">
  <sheetPr>
    <tabColor rgb="FF92D050"/>
  </sheetPr>
  <dimension ref="B1:U63"/>
  <sheetViews>
    <sheetView topLeftCell="A35" workbookViewId="0">
      <selection activeCell="B38" sqref="B38"/>
    </sheetView>
  </sheetViews>
  <sheetFormatPr defaultRowHeight="16" x14ac:dyDescent="0.4"/>
  <cols>
    <col min="1" max="1" width="8.7265625" style="1"/>
    <col min="2" max="2" width="45.36328125" style="1" bestFit="1" customWidth="1"/>
    <col min="3" max="3" width="19.36328125" style="1" customWidth="1"/>
    <col min="4" max="4" width="27.90625" style="1" bestFit="1" customWidth="1"/>
    <col min="5" max="5" width="8.7265625" style="1"/>
    <col min="6" max="6" width="14.7265625" style="1" customWidth="1"/>
    <col min="7" max="7" width="16.36328125" style="1" bestFit="1" customWidth="1"/>
    <col min="8" max="8" width="12.6328125" style="1" customWidth="1"/>
    <col min="9" max="9" width="12.36328125" style="1" customWidth="1"/>
    <col min="10" max="10" width="12.90625" style="1" customWidth="1"/>
    <col min="11" max="11" width="11.81640625" style="1" customWidth="1"/>
    <col min="12" max="12" width="12.26953125" style="1" customWidth="1"/>
    <col min="13" max="13" width="12" style="1" customWidth="1"/>
    <col min="14" max="14" width="13.08984375" style="1" customWidth="1"/>
    <col min="15" max="16384" width="8.7265625" style="1"/>
  </cols>
  <sheetData>
    <row r="1" spans="2:21" ht="20.25" customHeight="1" thickBot="1" x14ac:dyDescent="0.45">
      <c r="B1" s="7" t="s">
        <v>37</v>
      </c>
      <c r="C1" s="187" t="s">
        <v>38</v>
      </c>
      <c r="D1" s="76" t="s">
        <v>39</v>
      </c>
      <c r="E1" s="69"/>
    </row>
    <row r="2" spans="2:21" ht="29.5" thickBot="1" x14ac:dyDescent="0.45">
      <c r="B2" s="9" t="s">
        <v>14</v>
      </c>
      <c r="C2" s="188"/>
      <c r="D2" s="77" t="s">
        <v>4</v>
      </c>
      <c r="E2" s="11" t="s">
        <v>40</v>
      </c>
      <c r="L2" s="6" t="s">
        <v>15</v>
      </c>
    </row>
    <row r="3" spans="2:21" ht="16.5" thickBot="1" x14ac:dyDescent="0.45">
      <c r="B3" s="12" t="s">
        <v>41</v>
      </c>
      <c r="C3" s="13"/>
      <c r="D3" s="38">
        <v>0</v>
      </c>
      <c r="E3" s="14">
        <f t="shared" ref="E3:E30" si="0">SUM(D3:D3)</f>
        <v>0</v>
      </c>
      <c r="L3" s="6" t="s">
        <v>16</v>
      </c>
    </row>
    <row r="4" spans="2:21" ht="16.5" thickBot="1" x14ac:dyDescent="0.45">
      <c r="B4" s="15" t="s">
        <v>45</v>
      </c>
      <c r="C4" s="16" t="s">
        <v>46</v>
      </c>
      <c r="D4" s="71">
        <v>0</v>
      </c>
      <c r="E4" s="18">
        <f t="shared" si="0"/>
        <v>0</v>
      </c>
      <c r="L4" s="6" t="s">
        <v>17</v>
      </c>
    </row>
    <row r="5" spans="2:21" ht="16.5" thickBot="1" x14ac:dyDescent="0.45">
      <c r="B5" s="12" t="s">
        <v>50</v>
      </c>
      <c r="C5" s="23"/>
      <c r="D5" s="38">
        <v>0</v>
      </c>
      <c r="E5" s="24">
        <f t="shared" si="0"/>
        <v>0</v>
      </c>
      <c r="I5" s="1" t="s">
        <v>42</v>
      </c>
      <c r="J5" s="1" t="s">
        <v>43</v>
      </c>
      <c r="K5" s="6" t="s">
        <v>16</v>
      </c>
      <c r="L5" s="6" t="s">
        <v>14</v>
      </c>
      <c r="O5" s="189" t="s">
        <v>44</v>
      </c>
      <c r="P5" s="190"/>
      <c r="Q5" s="190"/>
      <c r="R5" s="190"/>
      <c r="S5" s="190"/>
      <c r="T5" s="190"/>
      <c r="U5" s="191"/>
    </row>
    <row r="6" spans="2:21" ht="16.5" thickBot="1" x14ac:dyDescent="0.45">
      <c r="B6" s="15" t="s">
        <v>52</v>
      </c>
      <c r="C6" s="28" t="s">
        <v>46</v>
      </c>
      <c r="D6" s="71">
        <v>0</v>
      </c>
      <c r="E6" s="18">
        <f t="shared" si="0"/>
        <v>0</v>
      </c>
      <c r="F6" s="1">
        <v>30</v>
      </c>
      <c r="G6" s="1" t="s">
        <v>47</v>
      </c>
      <c r="H6" s="1">
        <v>60</v>
      </c>
      <c r="I6" s="1">
        <f>0.46*H6*F6/2</f>
        <v>414</v>
      </c>
      <c r="J6" s="1">
        <f>0.54*H6*F6/2</f>
        <v>486.00000000000011</v>
      </c>
      <c r="K6" s="6" t="s">
        <v>17</v>
      </c>
      <c r="L6" s="6" t="s">
        <v>18</v>
      </c>
      <c r="O6" s="19" t="s">
        <v>48</v>
      </c>
      <c r="P6" s="20"/>
      <c r="Q6" s="21" t="s">
        <v>49</v>
      </c>
      <c r="R6" s="20"/>
      <c r="S6" s="20"/>
      <c r="T6" s="20"/>
      <c r="U6" s="22"/>
    </row>
    <row r="7" spans="2:21" ht="16.5" thickBot="1" x14ac:dyDescent="0.45">
      <c r="B7" s="12" t="s">
        <v>54</v>
      </c>
      <c r="C7" s="23"/>
      <c r="D7" s="38">
        <v>0</v>
      </c>
      <c r="E7" s="24">
        <f t="shared" si="0"/>
        <v>0</v>
      </c>
      <c r="F7" s="1">
        <v>31</v>
      </c>
      <c r="G7" s="1" t="s">
        <v>13</v>
      </c>
      <c r="H7" s="1">
        <v>60</v>
      </c>
      <c r="I7" s="1">
        <f t="shared" ref="I7:I17" si="1">0.46*H7*F7/2</f>
        <v>427.8</v>
      </c>
      <c r="J7" s="1">
        <f t="shared" ref="J7:J17" si="2">0.54*H7*F7/2</f>
        <v>502.2000000000001</v>
      </c>
      <c r="K7" s="6" t="s">
        <v>14</v>
      </c>
      <c r="L7" s="6" t="s">
        <v>19</v>
      </c>
      <c r="O7" s="25" t="s">
        <v>33</v>
      </c>
      <c r="P7" s="26"/>
      <c r="Q7" s="26"/>
      <c r="R7" s="26">
        <v>0.45</v>
      </c>
      <c r="S7" s="26"/>
      <c r="T7" s="26"/>
      <c r="U7" s="27" t="s">
        <v>51</v>
      </c>
    </row>
    <row r="8" spans="2:21" x14ac:dyDescent="0.4">
      <c r="B8" s="29" t="s">
        <v>56</v>
      </c>
      <c r="C8" s="28" t="s">
        <v>46</v>
      </c>
      <c r="D8" s="72">
        <v>0</v>
      </c>
      <c r="E8" s="31">
        <f t="shared" si="0"/>
        <v>0</v>
      </c>
      <c r="F8" s="1">
        <v>30</v>
      </c>
      <c r="G8" s="1" t="s">
        <v>53</v>
      </c>
      <c r="H8" s="1">
        <v>60</v>
      </c>
      <c r="I8" s="1">
        <f t="shared" si="1"/>
        <v>414</v>
      </c>
      <c r="J8" s="1">
        <f t="shared" si="2"/>
        <v>486.00000000000011</v>
      </c>
      <c r="K8" s="6" t="s">
        <v>18</v>
      </c>
      <c r="L8" s="6" t="s">
        <v>20</v>
      </c>
      <c r="O8" s="25" t="s">
        <v>36</v>
      </c>
      <c r="P8" s="26"/>
      <c r="Q8" s="26"/>
      <c r="R8" s="26">
        <v>0.46</v>
      </c>
      <c r="S8" s="26"/>
      <c r="T8" s="26"/>
      <c r="U8" s="27" t="s">
        <v>51</v>
      </c>
    </row>
    <row r="9" spans="2:21" ht="16.5" thickBot="1" x14ac:dyDescent="0.45">
      <c r="B9" s="32" t="s">
        <v>58</v>
      </c>
      <c r="C9" s="28" t="s">
        <v>46</v>
      </c>
      <c r="D9" s="73">
        <v>0</v>
      </c>
      <c r="E9" s="34">
        <f t="shared" si="0"/>
        <v>0</v>
      </c>
      <c r="F9" s="1">
        <v>31</v>
      </c>
      <c r="G9" s="1" t="s">
        <v>55</v>
      </c>
      <c r="H9" s="1">
        <v>60</v>
      </c>
      <c r="I9" s="1">
        <f t="shared" si="1"/>
        <v>427.8</v>
      </c>
      <c r="J9" s="1">
        <f t="shared" si="2"/>
        <v>502.2000000000001</v>
      </c>
      <c r="K9" s="6" t="s">
        <v>19</v>
      </c>
      <c r="L9" s="6" t="s">
        <v>21</v>
      </c>
      <c r="O9" s="25" t="s">
        <v>32</v>
      </c>
      <c r="P9" s="26"/>
      <c r="Q9" s="26"/>
      <c r="R9" s="26">
        <v>0.62</v>
      </c>
      <c r="S9" s="26"/>
      <c r="T9" s="26"/>
      <c r="U9" s="27" t="s">
        <v>51</v>
      </c>
    </row>
    <row r="10" spans="2:21" ht="16.5" thickBot="1" x14ac:dyDescent="0.45">
      <c r="B10" s="12" t="s">
        <v>60</v>
      </c>
      <c r="C10" s="23"/>
      <c r="D10" s="38">
        <v>0</v>
      </c>
      <c r="E10" s="24">
        <f t="shared" si="0"/>
        <v>0</v>
      </c>
      <c r="F10" s="1">
        <v>31</v>
      </c>
      <c r="G10" s="1" t="s">
        <v>57</v>
      </c>
      <c r="H10" s="1">
        <v>60</v>
      </c>
      <c r="I10" s="1">
        <f t="shared" si="1"/>
        <v>427.8</v>
      </c>
      <c r="J10" s="1">
        <f t="shared" si="2"/>
        <v>502.2000000000001</v>
      </c>
      <c r="K10" s="6" t="s">
        <v>20</v>
      </c>
      <c r="L10" s="6" t="s">
        <v>22</v>
      </c>
      <c r="O10" s="25" t="s">
        <v>35</v>
      </c>
      <c r="P10" s="26"/>
      <c r="Q10" s="26"/>
      <c r="R10" s="26">
        <v>0.39</v>
      </c>
      <c r="S10" s="26"/>
      <c r="T10" s="26"/>
      <c r="U10" s="27" t="s">
        <v>51</v>
      </c>
    </row>
    <row r="11" spans="2:21" x14ac:dyDescent="0.4">
      <c r="B11" s="29" t="s">
        <v>62</v>
      </c>
      <c r="C11" s="28" t="s">
        <v>46</v>
      </c>
      <c r="D11" s="72">
        <v>0</v>
      </c>
      <c r="E11" s="31">
        <f t="shared" si="0"/>
        <v>0</v>
      </c>
      <c r="F11" s="1">
        <v>30</v>
      </c>
      <c r="G11" s="1" t="s">
        <v>59</v>
      </c>
      <c r="H11" s="1">
        <v>60</v>
      </c>
      <c r="I11" s="1">
        <f t="shared" si="1"/>
        <v>414</v>
      </c>
      <c r="J11" s="1">
        <f t="shared" si="2"/>
        <v>486.00000000000011</v>
      </c>
      <c r="K11" s="6" t="s">
        <v>21</v>
      </c>
      <c r="O11" s="35" t="s">
        <v>34</v>
      </c>
      <c r="P11" s="36"/>
      <c r="Q11" s="36"/>
      <c r="R11" s="36">
        <v>0.56999999999999995</v>
      </c>
      <c r="S11" s="36"/>
      <c r="T11" s="36"/>
      <c r="U11" s="37" t="s">
        <v>51</v>
      </c>
    </row>
    <row r="12" spans="2:21" x14ac:dyDescent="0.4">
      <c r="B12" s="39" t="s">
        <v>64</v>
      </c>
      <c r="C12" s="40" t="s">
        <v>65</v>
      </c>
      <c r="D12" s="41">
        <f>I18</f>
        <v>5037</v>
      </c>
      <c r="E12" s="41">
        <f t="shared" si="0"/>
        <v>5037</v>
      </c>
      <c r="F12" s="1">
        <v>31</v>
      </c>
      <c r="G12" s="1" t="s">
        <v>61</v>
      </c>
      <c r="H12" s="1">
        <v>60</v>
      </c>
      <c r="I12" s="1">
        <f t="shared" si="1"/>
        <v>427.8</v>
      </c>
      <c r="J12" s="1">
        <f t="shared" si="2"/>
        <v>502.2000000000001</v>
      </c>
      <c r="K12" s="6" t="s">
        <v>22</v>
      </c>
    </row>
    <row r="13" spans="2:21" x14ac:dyDescent="0.4">
      <c r="B13" s="39" t="s">
        <v>67</v>
      </c>
      <c r="C13" s="40" t="s">
        <v>65</v>
      </c>
      <c r="D13" s="74">
        <v>0</v>
      </c>
      <c r="E13" s="41">
        <f t="shared" si="0"/>
        <v>0</v>
      </c>
      <c r="F13" s="1">
        <v>30</v>
      </c>
      <c r="G13" s="1" t="s">
        <v>63</v>
      </c>
      <c r="H13" s="1">
        <v>60</v>
      </c>
      <c r="I13" s="1">
        <f t="shared" si="1"/>
        <v>414</v>
      </c>
      <c r="J13" s="1">
        <f t="shared" si="2"/>
        <v>486.00000000000011</v>
      </c>
    </row>
    <row r="14" spans="2:21" x14ac:dyDescent="0.4">
      <c r="B14" s="39" t="s">
        <v>69</v>
      </c>
      <c r="C14" s="28" t="s">
        <v>46</v>
      </c>
      <c r="D14" s="74">
        <v>0</v>
      </c>
      <c r="E14" s="41">
        <f t="shared" si="0"/>
        <v>0</v>
      </c>
      <c r="F14" s="1">
        <v>31</v>
      </c>
      <c r="G14" s="1" t="s">
        <v>66</v>
      </c>
      <c r="H14" s="1">
        <v>60</v>
      </c>
      <c r="I14" s="1">
        <f t="shared" si="1"/>
        <v>427.8</v>
      </c>
      <c r="J14" s="1">
        <f t="shared" si="2"/>
        <v>502.2000000000001</v>
      </c>
    </row>
    <row r="15" spans="2:21" x14ac:dyDescent="0.4">
      <c r="B15" s="39" t="s">
        <v>71</v>
      </c>
      <c r="C15" s="28" t="s">
        <v>46</v>
      </c>
      <c r="D15" s="74">
        <v>0</v>
      </c>
      <c r="E15" s="41">
        <f t="shared" si="0"/>
        <v>0</v>
      </c>
      <c r="F15" s="1">
        <v>31</v>
      </c>
      <c r="G15" s="1" t="s">
        <v>68</v>
      </c>
      <c r="H15" s="1">
        <v>60</v>
      </c>
      <c r="I15" s="1">
        <f t="shared" si="1"/>
        <v>427.8</v>
      </c>
      <c r="J15" s="1">
        <f t="shared" si="2"/>
        <v>502.2000000000001</v>
      </c>
    </row>
    <row r="16" spans="2:21" x14ac:dyDescent="0.4">
      <c r="B16" s="39" t="s">
        <v>73</v>
      </c>
      <c r="C16" s="28" t="s">
        <v>65</v>
      </c>
      <c r="D16" s="74">
        <v>0</v>
      </c>
      <c r="E16" s="41">
        <f t="shared" si="0"/>
        <v>0</v>
      </c>
      <c r="F16" s="1">
        <v>28</v>
      </c>
      <c r="G16" s="1" t="s">
        <v>70</v>
      </c>
      <c r="H16" s="1">
        <v>60</v>
      </c>
      <c r="I16" s="1">
        <f t="shared" si="1"/>
        <v>386.40000000000003</v>
      </c>
      <c r="J16" s="1">
        <f t="shared" si="2"/>
        <v>453.60000000000008</v>
      </c>
    </row>
    <row r="17" spans="2:15" x14ac:dyDescent="0.4">
      <c r="B17" s="39" t="s">
        <v>74</v>
      </c>
      <c r="C17" s="40" t="s">
        <v>65</v>
      </c>
      <c r="D17" s="74">
        <v>0</v>
      </c>
      <c r="E17" s="41">
        <f t="shared" si="0"/>
        <v>0</v>
      </c>
      <c r="F17" s="1">
        <v>31</v>
      </c>
      <c r="G17" s="1" t="s">
        <v>72</v>
      </c>
      <c r="H17" s="1">
        <v>60</v>
      </c>
      <c r="I17" s="1">
        <f t="shared" si="1"/>
        <v>427.8</v>
      </c>
      <c r="J17" s="1">
        <f t="shared" si="2"/>
        <v>502.2000000000001</v>
      </c>
    </row>
    <row r="18" spans="2:15" x14ac:dyDescent="0.4">
      <c r="B18" s="39" t="s">
        <v>75</v>
      </c>
      <c r="C18" s="40" t="s">
        <v>65</v>
      </c>
      <c r="D18" s="74">
        <v>0</v>
      </c>
      <c r="E18" s="41">
        <f t="shared" si="0"/>
        <v>0</v>
      </c>
      <c r="I18" s="1">
        <f>SUM(I6:I17)</f>
        <v>5037</v>
      </c>
      <c r="J18" s="1">
        <f>SUM(J6:J17)</f>
        <v>5913.0000000000009</v>
      </c>
    </row>
    <row r="19" spans="2:15" x14ac:dyDescent="0.4">
      <c r="B19" s="39" t="s">
        <v>76</v>
      </c>
      <c r="C19" s="28" t="s">
        <v>46</v>
      </c>
      <c r="D19" s="74">
        <v>0</v>
      </c>
      <c r="E19" s="41">
        <f t="shared" si="0"/>
        <v>0</v>
      </c>
    </row>
    <row r="20" spans="2:15" x14ac:dyDescent="0.4">
      <c r="B20" s="39" t="s">
        <v>77</v>
      </c>
      <c r="C20" s="40" t="s">
        <v>65</v>
      </c>
      <c r="D20" s="74">
        <v>0</v>
      </c>
      <c r="E20" s="41">
        <f t="shared" si="0"/>
        <v>0</v>
      </c>
    </row>
    <row r="21" spans="2:15" x14ac:dyDescent="0.4">
      <c r="B21" s="39" t="s">
        <v>78</v>
      </c>
      <c r="C21" s="28" t="s">
        <v>46</v>
      </c>
      <c r="D21" s="74">
        <v>0</v>
      </c>
      <c r="E21" s="41">
        <f t="shared" si="0"/>
        <v>0</v>
      </c>
    </row>
    <row r="22" spans="2:15" x14ac:dyDescent="0.4">
      <c r="B22" s="39" t="s">
        <v>79</v>
      </c>
      <c r="C22" s="28" t="s">
        <v>65</v>
      </c>
      <c r="D22" s="79">
        <v>0</v>
      </c>
      <c r="E22" s="41">
        <f t="shared" si="0"/>
        <v>0</v>
      </c>
    </row>
    <row r="23" spans="2:15" x14ac:dyDescent="0.4">
      <c r="B23" s="39" t="s">
        <v>80</v>
      </c>
      <c r="C23" s="28" t="s">
        <v>65</v>
      </c>
      <c r="D23" s="74">
        <f>J18</f>
        <v>5913.0000000000009</v>
      </c>
      <c r="E23" s="41">
        <f t="shared" si="0"/>
        <v>5913.0000000000009</v>
      </c>
    </row>
    <row r="24" spans="2:15" x14ac:dyDescent="0.4">
      <c r="B24" s="39" t="s">
        <v>81</v>
      </c>
      <c r="C24" s="28" t="s">
        <v>46</v>
      </c>
      <c r="D24" s="74">
        <v>0</v>
      </c>
      <c r="E24" s="41">
        <f t="shared" si="0"/>
        <v>0</v>
      </c>
    </row>
    <row r="25" spans="2:15" x14ac:dyDescent="0.4">
      <c r="B25" s="39" t="s">
        <v>82</v>
      </c>
      <c r="C25" s="28" t="s">
        <v>46</v>
      </c>
      <c r="D25" s="74">
        <v>0</v>
      </c>
      <c r="E25" s="41">
        <f t="shared" si="0"/>
        <v>0</v>
      </c>
    </row>
    <row r="26" spans="2:15" x14ac:dyDescent="0.4">
      <c r="B26" s="39" t="s">
        <v>83</v>
      </c>
      <c r="C26" s="28" t="s">
        <v>46</v>
      </c>
      <c r="D26" s="74">
        <v>0</v>
      </c>
      <c r="E26" s="41">
        <f t="shared" si="0"/>
        <v>0</v>
      </c>
    </row>
    <row r="27" spans="2:15" x14ac:dyDescent="0.4">
      <c r="B27" s="39" t="s">
        <v>84</v>
      </c>
      <c r="C27" s="28" t="s">
        <v>46</v>
      </c>
      <c r="D27" s="74">
        <v>0</v>
      </c>
      <c r="E27" s="41">
        <f t="shared" si="0"/>
        <v>0</v>
      </c>
    </row>
    <row r="28" spans="2:15" ht="16.5" thickBot="1" x14ac:dyDescent="0.45">
      <c r="B28" s="32" t="s">
        <v>85</v>
      </c>
      <c r="C28" s="28" t="s">
        <v>46</v>
      </c>
      <c r="D28" s="73">
        <v>0</v>
      </c>
      <c r="E28" s="34">
        <f t="shared" si="0"/>
        <v>0</v>
      </c>
    </row>
    <row r="29" spans="2:15" ht="18.5" thickBot="1" x14ac:dyDescent="0.45">
      <c r="B29" s="12" t="s">
        <v>86</v>
      </c>
      <c r="C29" s="23"/>
      <c r="D29" s="38">
        <v>0</v>
      </c>
      <c r="E29" s="24">
        <f t="shared" si="0"/>
        <v>0</v>
      </c>
    </row>
    <row r="30" spans="2:15" ht="18" x14ac:dyDescent="0.4">
      <c r="B30" s="29" t="s">
        <v>87</v>
      </c>
      <c r="C30" s="43" t="s">
        <v>46</v>
      </c>
      <c r="D30" s="72">
        <v>0</v>
      </c>
      <c r="E30" s="31">
        <f t="shared" si="0"/>
        <v>0</v>
      </c>
    </row>
    <row r="31" spans="2:15" ht="16.5" thickBot="1" x14ac:dyDescent="0.45">
      <c r="O31" s="44"/>
    </row>
    <row r="32" spans="2:15" ht="32" x14ac:dyDescent="0.4">
      <c r="B32" s="45" t="s">
        <v>88</v>
      </c>
      <c r="C32" s="46" t="s">
        <v>89</v>
      </c>
      <c r="D32" s="46" t="s">
        <v>90</v>
      </c>
      <c r="E32" s="47" t="s">
        <v>91</v>
      </c>
      <c r="O32" s="44"/>
    </row>
    <row r="33" spans="2:15" x14ac:dyDescent="0.4">
      <c r="B33" s="48" t="s">
        <v>45</v>
      </c>
      <c r="C33" s="39" t="str">
        <f>VLOOKUP($B33,$B$4:$C$30,2,0)</f>
        <v>Recycled/Reused</v>
      </c>
      <c r="D33" s="40">
        <f>(SUMIF($B$3:$B$30,$B33,$E$3:$E$30)*1000)/1.1</f>
        <v>0</v>
      </c>
      <c r="E33" s="49" t="s">
        <v>92</v>
      </c>
      <c r="O33" s="44"/>
    </row>
    <row r="34" spans="2:15" ht="16.5" thickBot="1" x14ac:dyDescent="0.45">
      <c r="B34" s="48" t="s">
        <v>52</v>
      </c>
      <c r="C34" s="39" t="str">
        <f t="shared" ref="C34:C56" si="3">VLOOKUP($B34,$B$4:$C$30,2,0)</f>
        <v>Recycled/Reused</v>
      </c>
      <c r="D34" s="40">
        <f t="shared" ref="D34:D54" si="4">SUMIF($B$3:$B$30,$B34,$E$3:$E$30)</f>
        <v>0</v>
      </c>
      <c r="E34" s="49" t="s">
        <v>92</v>
      </c>
    </row>
    <row r="35" spans="2:15" ht="16.5" thickBot="1" x14ac:dyDescent="0.45">
      <c r="B35" s="48" t="s">
        <v>56</v>
      </c>
      <c r="C35" s="39" t="str">
        <f t="shared" si="3"/>
        <v>Recycled/Reused</v>
      </c>
      <c r="D35" s="40">
        <f t="shared" si="4"/>
        <v>0</v>
      </c>
      <c r="E35" s="49" t="s">
        <v>93</v>
      </c>
      <c r="G35" s="50" t="s">
        <v>46</v>
      </c>
      <c r="H35" s="51">
        <f>SUMIFS($D$33:$D$56,$C$33:$C$56,$G35)</f>
        <v>0</v>
      </c>
    </row>
    <row r="36" spans="2:15" ht="16.5" thickBot="1" x14ac:dyDescent="0.45">
      <c r="B36" s="48" t="s">
        <v>58</v>
      </c>
      <c r="C36" s="39" t="str">
        <f t="shared" si="3"/>
        <v>Recycled/Reused</v>
      </c>
      <c r="D36" s="40">
        <f t="shared" si="4"/>
        <v>0</v>
      </c>
      <c r="E36" s="49" t="s">
        <v>93</v>
      </c>
      <c r="G36" s="52" t="s">
        <v>65</v>
      </c>
      <c r="H36" s="53">
        <f>SUMIFS($D$33:$D$56,$C$33:$C$56,$G36)</f>
        <v>10950</v>
      </c>
    </row>
    <row r="37" spans="2:15" ht="16.5" thickBot="1" x14ac:dyDescent="0.45">
      <c r="B37" s="48" t="s">
        <v>62</v>
      </c>
      <c r="C37" s="39" t="str">
        <f t="shared" si="3"/>
        <v>Recycled/Reused</v>
      </c>
      <c r="D37" s="40">
        <f t="shared" si="4"/>
        <v>0</v>
      </c>
      <c r="E37" s="49" t="s">
        <v>92</v>
      </c>
      <c r="G37" s="54" t="s">
        <v>31</v>
      </c>
      <c r="H37" s="55">
        <f>D57-SUM(D35:D36)</f>
        <v>10950</v>
      </c>
    </row>
    <row r="38" spans="2:15" ht="32.5" thickBot="1" x14ac:dyDescent="0.45">
      <c r="B38" s="48" t="s">
        <v>64</v>
      </c>
      <c r="C38" s="39" t="str">
        <f t="shared" si="3"/>
        <v>Landfill</v>
      </c>
      <c r="D38" s="40">
        <f t="shared" si="4"/>
        <v>5037</v>
      </c>
      <c r="E38" s="49" t="s">
        <v>92</v>
      </c>
      <c r="G38" s="56" t="s">
        <v>94</v>
      </c>
      <c r="H38" s="75">
        <f>IF(ISERROR(H35/H37), "ZERO Waste Generated", (H35/H37))</f>
        <v>0</v>
      </c>
    </row>
    <row r="39" spans="2:15" x14ac:dyDescent="0.4">
      <c r="B39" s="48" t="s">
        <v>67</v>
      </c>
      <c r="C39" s="39" t="str">
        <f t="shared" si="3"/>
        <v>Landfill</v>
      </c>
      <c r="D39" s="40">
        <f t="shared" si="4"/>
        <v>0</v>
      </c>
      <c r="E39" s="49" t="s">
        <v>92</v>
      </c>
    </row>
    <row r="40" spans="2:15" x14ac:dyDescent="0.4">
      <c r="B40" s="48" t="s">
        <v>69</v>
      </c>
      <c r="C40" s="39" t="str">
        <f t="shared" si="3"/>
        <v>Recycled/Reused</v>
      </c>
      <c r="D40" s="40">
        <f t="shared" si="4"/>
        <v>0</v>
      </c>
      <c r="E40" s="49" t="s">
        <v>92</v>
      </c>
    </row>
    <row r="41" spans="2:15" ht="16.5" thickBot="1" x14ac:dyDescent="0.45">
      <c r="B41" s="48" t="s">
        <v>71</v>
      </c>
      <c r="C41" s="39" t="str">
        <f t="shared" si="3"/>
        <v>Recycled/Reused</v>
      </c>
      <c r="D41" s="40">
        <f t="shared" si="4"/>
        <v>0</v>
      </c>
      <c r="E41" s="49" t="s">
        <v>92</v>
      </c>
    </row>
    <row r="42" spans="2:15" x14ac:dyDescent="0.4">
      <c r="B42" s="48" t="s">
        <v>73</v>
      </c>
      <c r="C42" s="39" t="str">
        <f t="shared" si="3"/>
        <v>Landfill</v>
      </c>
      <c r="D42" s="40">
        <f>SUMIF($B$3:$B$30,$B42,$E$3:$E$30)*0.5</f>
        <v>0</v>
      </c>
      <c r="E42" s="49" t="s">
        <v>92</v>
      </c>
      <c r="G42" s="58" t="s">
        <v>95</v>
      </c>
      <c r="H42" s="51">
        <f>D38*0.5</f>
        <v>2518.5</v>
      </c>
    </row>
    <row r="43" spans="2:15" x14ac:dyDescent="0.4">
      <c r="B43" s="48" t="s">
        <v>74</v>
      </c>
      <c r="C43" s="39" t="str">
        <f t="shared" si="3"/>
        <v>Landfill</v>
      </c>
      <c r="D43" s="40">
        <f t="shared" si="4"/>
        <v>0</v>
      </c>
      <c r="E43" s="49" t="s">
        <v>92</v>
      </c>
      <c r="G43" s="59" t="s">
        <v>96</v>
      </c>
      <c r="H43" s="60">
        <f>SUM(D41,D47,D53)</f>
        <v>0</v>
      </c>
    </row>
    <row r="44" spans="2:15" ht="16.5" thickBot="1" x14ac:dyDescent="0.45">
      <c r="B44" s="48" t="s">
        <v>75</v>
      </c>
      <c r="C44" s="39" t="str">
        <f t="shared" si="3"/>
        <v>Landfill</v>
      </c>
      <c r="D44" s="40">
        <f t="shared" si="4"/>
        <v>0</v>
      </c>
      <c r="E44" s="49" t="s">
        <v>92</v>
      </c>
      <c r="G44" s="61" t="s">
        <v>97</v>
      </c>
      <c r="H44" s="62">
        <f>D54</f>
        <v>0</v>
      </c>
    </row>
    <row r="45" spans="2:15" x14ac:dyDescent="0.4">
      <c r="B45" s="48" t="s">
        <v>76</v>
      </c>
      <c r="C45" s="39" t="str">
        <f t="shared" si="3"/>
        <v>Recycled/Reused</v>
      </c>
      <c r="D45" s="40">
        <f t="shared" si="4"/>
        <v>0</v>
      </c>
      <c r="E45" s="49" t="s">
        <v>92</v>
      </c>
    </row>
    <row r="46" spans="2:15" x14ac:dyDescent="0.4">
      <c r="B46" s="48" t="s">
        <v>77</v>
      </c>
      <c r="C46" s="39" t="str">
        <f t="shared" si="3"/>
        <v>Landfill</v>
      </c>
      <c r="D46" s="40">
        <f t="shared" si="4"/>
        <v>0</v>
      </c>
      <c r="E46" s="49" t="s">
        <v>92</v>
      </c>
    </row>
    <row r="47" spans="2:15" x14ac:dyDescent="0.4">
      <c r="B47" s="48" t="s">
        <v>78</v>
      </c>
      <c r="C47" s="39" t="str">
        <f t="shared" si="3"/>
        <v>Recycled/Reused</v>
      </c>
      <c r="D47" s="40">
        <f t="shared" si="4"/>
        <v>0</v>
      </c>
      <c r="E47" s="49" t="s">
        <v>92</v>
      </c>
    </row>
    <row r="48" spans="2:15" x14ac:dyDescent="0.4">
      <c r="B48" s="48" t="s">
        <v>79</v>
      </c>
      <c r="C48" s="39" t="str">
        <f t="shared" si="3"/>
        <v>Landfill</v>
      </c>
      <c r="D48" s="40">
        <f t="shared" si="4"/>
        <v>0</v>
      </c>
      <c r="E48" s="49" t="s">
        <v>92</v>
      </c>
    </row>
    <row r="49" spans="2:5" x14ac:dyDescent="0.4">
      <c r="B49" s="48" t="s">
        <v>80</v>
      </c>
      <c r="C49" s="39" t="str">
        <f t="shared" si="3"/>
        <v>Landfill</v>
      </c>
      <c r="D49" s="40">
        <f t="shared" si="4"/>
        <v>5913.0000000000009</v>
      </c>
      <c r="E49" s="49" t="s">
        <v>92</v>
      </c>
    </row>
    <row r="50" spans="2:5" x14ac:dyDescent="0.4">
      <c r="B50" s="48" t="s">
        <v>81</v>
      </c>
      <c r="C50" s="39" t="str">
        <f t="shared" si="3"/>
        <v>Recycled/Reused</v>
      </c>
      <c r="D50" s="40">
        <f t="shared" si="4"/>
        <v>0</v>
      </c>
      <c r="E50" s="49" t="s">
        <v>92</v>
      </c>
    </row>
    <row r="51" spans="2:5" x14ac:dyDescent="0.4">
      <c r="B51" s="48" t="s">
        <v>82</v>
      </c>
      <c r="C51" s="39" t="str">
        <f t="shared" si="3"/>
        <v>Recycled/Reused</v>
      </c>
      <c r="D51" s="40">
        <f t="shared" si="4"/>
        <v>0</v>
      </c>
      <c r="E51" s="49" t="s">
        <v>92</v>
      </c>
    </row>
    <row r="52" spans="2:5" x14ac:dyDescent="0.4">
      <c r="B52" s="48" t="s">
        <v>83</v>
      </c>
      <c r="C52" s="39" t="str">
        <f t="shared" si="3"/>
        <v>Recycled/Reused</v>
      </c>
      <c r="D52" s="40">
        <f t="shared" si="4"/>
        <v>0</v>
      </c>
      <c r="E52" s="49" t="s">
        <v>92</v>
      </c>
    </row>
    <row r="53" spans="2:5" x14ac:dyDescent="0.4">
      <c r="B53" s="48" t="s">
        <v>84</v>
      </c>
      <c r="C53" s="39" t="str">
        <f t="shared" si="3"/>
        <v>Recycled/Reused</v>
      </c>
      <c r="D53" s="40">
        <f t="shared" si="4"/>
        <v>0</v>
      </c>
      <c r="E53" s="49" t="s">
        <v>92</v>
      </c>
    </row>
    <row r="54" spans="2:5" x14ac:dyDescent="0.4">
      <c r="B54" s="48" t="s">
        <v>85</v>
      </c>
      <c r="C54" s="39" t="str">
        <f t="shared" si="3"/>
        <v>Recycled/Reused</v>
      </c>
      <c r="D54" s="40">
        <f t="shared" si="4"/>
        <v>0</v>
      </c>
      <c r="E54" s="49" t="s">
        <v>92</v>
      </c>
    </row>
    <row r="55" spans="2:5" ht="18.5" thickBot="1" x14ac:dyDescent="0.45">
      <c r="B55" s="64" t="s">
        <v>87</v>
      </c>
      <c r="C55" s="65" t="str">
        <f t="shared" si="3"/>
        <v>Recycled/Reused</v>
      </c>
      <c r="D55" s="66">
        <f>SUMIF($B$3:$B$30,$B55,$E$3:$E$30)*1620*0.5</f>
        <v>0</v>
      </c>
      <c r="E55" s="67" t="s">
        <v>92</v>
      </c>
    </row>
    <row r="56" spans="2:5" ht="18.5" thickBot="1" x14ac:dyDescent="0.45">
      <c r="B56" s="64" t="s">
        <v>87</v>
      </c>
      <c r="C56" s="65" t="str">
        <f t="shared" si="3"/>
        <v>Recycled/Reused</v>
      </c>
      <c r="D56" s="66">
        <f>SUMIF($B$3:$B$30,$B56,$E$3:$E$30)*1620*0.5</f>
        <v>0</v>
      </c>
      <c r="E56" s="67" t="s">
        <v>92</v>
      </c>
    </row>
    <row r="57" spans="2:5" ht="16.5" thickBot="1" x14ac:dyDescent="0.45">
      <c r="B57" s="192" t="s">
        <v>31</v>
      </c>
      <c r="C57" s="193"/>
      <c r="D57" s="194">
        <f>SUM(D33:D56)</f>
        <v>10950</v>
      </c>
      <c r="E57" s="195"/>
    </row>
    <row r="59" spans="2:5" x14ac:dyDescent="0.4">
      <c r="B59" s="81" t="s">
        <v>103</v>
      </c>
      <c r="C59" s="1">
        <v>1620</v>
      </c>
    </row>
    <row r="60" spans="2:5" x14ac:dyDescent="0.4">
      <c r="B60" s="81" t="s">
        <v>104</v>
      </c>
      <c r="C60" s="1">
        <v>1346</v>
      </c>
    </row>
    <row r="61" spans="2:5" x14ac:dyDescent="0.4">
      <c r="B61" s="81" t="s">
        <v>105</v>
      </c>
      <c r="C61" s="1">
        <v>1600</v>
      </c>
    </row>
    <row r="63" spans="2:5" x14ac:dyDescent="0.4">
      <c r="C63" s="82">
        <v>0.5</v>
      </c>
    </row>
  </sheetData>
  <mergeCells count="4">
    <mergeCell ref="C1:C2"/>
    <mergeCell ref="O5:U5"/>
    <mergeCell ref="B57:C57"/>
    <mergeCell ref="D57:E57"/>
  </mergeCells>
  <dataValidations count="1">
    <dataValidation type="list" allowBlank="1" showInputMessage="1" showErrorMessage="1" sqref="B2" xr:uid="{A542354C-3218-4E3B-AA01-FDC1F4DC0F74}">
      <formula1>$L$2:$L$10</formula1>
    </dataValidation>
  </dataValidations>
  <hyperlinks>
    <hyperlink ref="Q6" r:id="rId1" xr:uid="{1D75A677-BB14-46F9-8509-435395EF57D7}"/>
  </hyperlinks>
  <pageMargins left="0.7" right="0.7" top="0.75" bottom="0.75" header="0.3" footer="0.3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G q F W r t n 0 o + k A A A A 9 g A A A B I A H A B D b 2 5 m a W c v U G F j a 2 F n Z S 5 4 b W w g o h g A K K A U A A A A A A A A A A A A A A A A A A A A A A A A A A A A h Y + x D o I w F E V / h X S n L W U h 5 F E H J x M x J i b G t Y E K j f A w t F j + z c F P 8 h f E K O r m e M 8 9 w 7 3 3 6 w 0 W Y 9 s E F 9 1 b 0 2 F G I s p J o L H o S o N V R g Z 3 D B O y k L B V x U l V O p h k t O l o y 4 z U z p 1 T x r z 3 1 M e 0 6 y s m O I / Y I V / v i l q 3 i n x k 8 1 8 O D V q n s N B E w v 4 1 R g o a x Y L G I q E c 2 A w h N / g V x L T 3 2 f 5 A W A 6 N G 3 o t N Y a r D b A 5 A n t / k A 9 Q S w M E F A A C A A g A R G q F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R q h V o o i k e 4 D g A A A B E A A A A T A B w A R m 9 y b X V s Y X M v U 2 V j d G l v b j E u b S C i G A A o o B Q A A A A A A A A A A A A A A A A A A A A A A A A A A A A r T k 0 u y c z P U w i G 0 I b W A F B L A Q I t A B Q A A g A I A E R q h V q 7 Z 9 K P p A A A A P Y A A A A S A A A A A A A A A A A A A A A A A A A A A A B D b 2 5 m a W c v U G F j a 2 F n Z S 5 4 b W x Q S w E C L Q A U A A I A C A B E a o V a D 8 r p q 6 Q A A A D p A A A A E w A A A A A A A A A A A A A A A A D w A A A A W 0 N v b n R l b n R f V H l w Z X N d L n h t b F B L A Q I t A B Q A A g A I A E R q h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i 7 6 D B 8 X n p 0 a B t 8 q r Z 5 D M P Q A A A A A C A A A A A A A D Z g A A w A A A A B A A A A C X 4 3 2 M S J / d Y n Q b + t P P j O h v A A A A A A S A A A C g A A A A E A A A A G K Z G G G N A d R 5 e i U u i / c H D L 9 Q A A A A w g G q Y V s Z s w e E G 1 P x I c q u M X 7 h p t J Q A k l 1 p i R 5 T U b K i F I g f 7 G S D 3 R T b X 6 4 i 8 a 7 7 0 w X m r R G l K h M a i 6 A a R / W j h Z w V j v 7 n G 6 6 z u F w C 1 O A p Y x v k m o U A A A A g r s W M i 7 o L k C Y p a G 5 u d u L 6 E 0 z D C k = < / D a t a M a s h u p > 
</file>

<file path=customXml/itemProps1.xml><?xml version="1.0" encoding="utf-8"?>
<ds:datastoreItem xmlns:ds="http://schemas.openxmlformats.org/officeDocument/2006/customXml" ds:itemID="{910B6075-8363-4DC6-B812-8112BF1F1696}">
  <ds:schemaRefs>
    <ds:schemaRef ds:uri="http://schemas.microsoft.com/DataMashup"/>
  </ds:schemaRefs>
</ds:datastoreItem>
</file>

<file path=docMetadata/LabelInfo.xml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WG - Kalyan</vt:lpstr>
      <vt:lpstr>WG - Kalyan 2</vt:lpstr>
      <vt:lpstr>WG - Palghar 2</vt:lpstr>
      <vt:lpstr>WG - P21</vt:lpstr>
      <vt:lpstr>WG - Tathawade</vt:lpstr>
      <vt:lpstr>WG - Alcove</vt:lpstr>
      <vt:lpstr>WG - B9Hope</vt:lpstr>
      <vt:lpstr>WG - Citadel</vt:lpstr>
      <vt:lpstr>WG - IvyLush</vt:lpstr>
      <vt:lpstr>WG - Eden</vt:lpstr>
      <vt:lpstr>WG - Lakewoods</vt:lpstr>
      <vt:lpstr>WG - Luminare</vt:lpstr>
      <vt:lpstr>WG - Meridian</vt:lpstr>
      <vt:lpstr>WG - Nestalgia</vt:lpstr>
      <vt:lpstr>WG - Navy</vt:lpstr>
      <vt:lpstr>WG - Vista</vt:lpstr>
      <vt:lpstr>WG - Zen</vt:lpstr>
      <vt:lpstr>WG - Worli HO</vt:lpstr>
      <vt:lpstr>WG - ATP RO</vt:lpstr>
      <vt:lpstr>WG - Borivali RO</vt:lpstr>
      <vt:lpstr>WG - Chennai City Office</vt:lpstr>
      <vt:lpstr>WG - Canopy - Sales and CE Offi</vt:lpstr>
      <vt:lpstr>WG - MWC Jaipur</vt:lpstr>
      <vt:lpstr>WG - Jaipur City Office</vt:lpstr>
      <vt:lpstr>WG - Origins Chennai</vt:lpstr>
      <vt:lpstr>WG - MWC Chennai</vt:lpstr>
      <vt:lpstr>Cost Savings - Resi + IC &amp; IC</vt:lpstr>
      <vt:lpstr>Reference 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 MAHESH - MLDL</dc:creator>
  <cp:lastModifiedBy>KANAK MAHESH - MLDL</cp:lastModifiedBy>
  <dcterms:created xsi:type="dcterms:W3CDTF">2025-04-05T03:08:41Z</dcterms:created>
  <dcterms:modified xsi:type="dcterms:W3CDTF">2025-06-07T13:07:45Z</dcterms:modified>
</cp:coreProperties>
</file>